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https://asa20-my.sharepoint.com/personal/direccao_lapi_asa_org_pt/Documents/ASA - LAPI/Actas - Relatórios - Artigos/Orçamentos&amp;#x3a; Relatorios financeiros Orçamentos/Orçamentos/2026/"/>
    </mc:Choice>
  </mc:AlternateContent>
  <xr:revisionPtr revIDLastSave="6" documentId="8_{A5C933D6-1E91-5A47-95FE-1CE7E14FBEEF}" xr6:coauthVersionLast="47" xr6:coauthVersionMax="47" xr10:uidLastSave="{5641AE46-E10C-664E-9C70-AF0B4007131C}"/>
  <bookViews>
    <workbookView xWindow="0" yWindow="680" windowWidth="18380" windowHeight="16880" activeTab="1" xr2:uid="{00000000-000D-0000-FFFF-FFFF00000000}"/>
  </bookViews>
  <sheets>
    <sheet name="RESUMO (AREAS)" sheetId="9" r:id="rId1"/>
    <sheet name="RESUMO" sheetId="8" r:id="rId2"/>
    <sheet name="CONSOLIDADO" sheetId="1" r:id="rId3"/>
    <sheet name="ASA SEDE" sheetId="3" r:id="rId4"/>
    <sheet name="LAPI NORTE" sheetId="6" r:id="rId5"/>
    <sheet name="LAPI CENTRO" sheetId="4" r:id="rId6"/>
    <sheet name="LAPI SUL" sheetId="7" r:id="rId7"/>
    <sheet name="LAPI MADEIRA" sheetId="5" r:id="rId8"/>
    <sheet name="ARCO IRIS" sheetId="2" r:id="rId9"/>
  </sheets>
  <definedNames>
    <definedName name="_xlnm.Print_Area" localSheetId="8">'ARCO IRIS'!$A$1:$E$60</definedName>
  </definedNames>
  <calcPr calcId="191029" calcMode="autoNoTable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K15" i="9"/>
  <c r="K16" i="9"/>
  <c r="K17" i="9"/>
  <c r="K14" i="9"/>
  <c r="K13" i="9"/>
  <c r="K11" i="9"/>
  <c r="K12" i="9"/>
  <c r="K10" i="9"/>
  <c r="K9" i="9"/>
  <c r="G44" i="1"/>
  <c r="F7" i="3"/>
  <c r="I25" i="3"/>
  <c r="H26" i="1"/>
  <c r="K18" i="9" l="1"/>
  <c r="P11" i="1"/>
  <c r="M66" i="7"/>
  <c r="R66" i="7" s="1"/>
  <c r="R11" i="7"/>
  <c r="R13" i="7"/>
  <c r="R15" i="7"/>
  <c r="R16" i="7"/>
  <c r="R23" i="7"/>
  <c r="R24" i="7"/>
  <c r="R28" i="7"/>
  <c r="R29" i="7"/>
  <c r="R31" i="7"/>
  <c r="R33" i="7"/>
  <c r="R36" i="7"/>
  <c r="R37" i="7"/>
  <c r="R38" i="7"/>
  <c r="R39" i="7"/>
  <c r="R42" i="7"/>
  <c r="R43" i="7"/>
  <c r="R45" i="7"/>
  <c r="R46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4" i="7"/>
  <c r="R68" i="7"/>
  <c r="R69" i="7"/>
  <c r="R71" i="7"/>
  <c r="R73" i="7"/>
  <c r="R75" i="7"/>
  <c r="R76" i="7"/>
  <c r="R80" i="7"/>
  <c r="I91" i="1"/>
  <c r="I88" i="1"/>
  <c r="I86" i="1"/>
  <c r="I89" i="1"/>
  <c r="I85" i="1"/>
  <c r="I83" i="1"/>
  <c r="I72" i="1"/>
  <c r="I57" i="1"/>
  <c r="I79" i="1"/>
  <c r="I73" i="1"/>
  <c r="I80" i="1"/>
  <c r="G81" i="1"/>
  <c r="K81" i="1" s="1"/>
  <c r="I60" i="1"/>
  <c r="I69" i="1"/>
  <c r="I66" i="1"/>
  <c r="I70" i="1"/>
  <c r="I78" i="1"/>
  <c r="I75" i="1"/>
  <c r="I76" i="1"/>
  <c r="I65" i="1"/>
  <c r="I64" i="1"/>
  <c r="I63" i="1"/>
  <c r="I56" i="1"/>
  <c r="I55" i="1"/>
  <c r="I50" i="1"/>
  <c r="H77" i="1"/>
  <c r="H55" i="1"/>
  <c r="H54" i="1"/>
  <c r="H93" i="1"/>
  <c r="H84" i="1"/>
  <c r="H86" i="1"/>
  <c r="H87" i="1"/>
  <c r="H88" i="1"/>
  <c r="H89" i="1"/>
  <c r="H90" i="1"/>
  <c r="H91" i="1"/>
  <c r="H76" i="1"/>
  <c r="H75" i="1"/>
  <c r="H74" i="1"/>
  <c r="H73" i="1"/>
  <c r="H71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1" i="1"/>
  <c r="H50" i="1"/>
  <c r="H49" i="1"/>
  <c r="H45" i="1"/>
  <c r="H40" i="1"/>
  <c r="H38" i="1"/>
  <c r="H32" i="1"/>
  <c r="H20" i="1"/>
  <c r="G95" i="1"/>
  <c r="G93" i="1"/>
  <c r="G85" i="1"/>
  <c r="G86" i="1"/>
  <c r="G87" i="1"/>
  <c r="G88" i="1"/>
  <c r="G89" i="1"/>
  <c r="G90" i="1"/>
  <c r="G91" i="1"/>
  <c r="G83" i="1"/>
  <c r="G77" i="1"/>
  <c r="G76" i="1"/>
  <c r="G75" i="1"/>
  <c r="G74" i="1"/>
  <c r="G73" i="1"/>
  <c r="G72" i="1"/>
  <c r="G69" i="1"/>
  <c r="G67" i="1"/>
  <c r="G66" i="1"/>
  <c r="G64" i="1"/>
  <c r="G65" i="1"/>
  <c r="G63" i="1"/>
  <c r="G62" i="1"/>
  <c r="G61" i="1"/>
  <c r="G60" i="1"/>
  <c r="G58" i="1"/>
  <c r="G57" i="1"/>
  <c r="G56" i="1"/>
  <c r="G55" i="1"/>
  <c r="G54" i="1"/>
  <c r="G51" i="1"/>
  <c r="G50" i="1"/>
  <c r="G49" i="1"/>
  <c r="G48" i="1"/>
  <c r="I53" i="1" l="1"/>
  <c r="M81" i="1"/>
  <c r="G45" i="1" l="1"/>
  <c r="G42" i="1"/>
  <c r="G41" i="1"/>
  <c r="G40" i="1"/>
  <c r="G25" i="1"/>
  <c r="G22" i="1"/>
  <c r="G21" i="1"/>
  <c r="G20" i="1"/>
  <c r="F95" i="1"/>
  <c r="F93" i="1"/>
  <c r="F84" i="1"/>
  <c r="F86" i="1"/>
  <c r="F87" i="1"/>
  <c r="F88" i="1"/>
  <c r="F89" i="1"/>
  <c r="F90" i="1"/>
  <c r="F91" i="1"/>
  <c r="F76" i="1"/>
  <c r="F75" i="1"/>
  <c r="F73" i="1"/>
  <c r="F72" i="1"/>
  <c r="F69" i="1"/>
  <c r="F67" i="1"/>
  <c r="F66" i="1"/>
  <c r="F65" i="1"/>
  <c r="F64" i="1"/>
  <c r="F63" i="1"/>
  <c r="F62" i="1"/>
  <c r="F60" i="1"/>
  <c r="F56" i="1"/>
  <c r="F57" i="1"/>
  <c r="F54" i="1"/>
  <c r="F49" i="1"/>
  <c r="F50" i="1"/>
  <c r="F48" i="1"/>
  <c r="F45" i="1"/>
  <c r="F40" i="1"/>
  <c r="F21" i="1"/>
  <c r="E95" i="1"/>
  <c r="E93" i="1"/>
  <c r="E84" i="1"/>
  <c r="E86" i="1"/>
  <c r="E87" i="1"/>
  <c r="E88" i="1"/>
  <c r="E89" i="1"/>
  <c r="E90" i="1"/>
  <c r="E91" i="1"/>
  <c r="E77" i="1"/>
  <c r="E76" i="1"/>
  <c r="E75" i="1"/>
  <c r="E74" i="1"/>
  <c r="M74" i="1" s="1"/>
  <c r="E73" i="1"/>
  <c r="E72" i="1"/>
  <c r="E69" i="1"/>
  <c r="E67" i="1"/>
  <c r="E66" i="1"/>
  <c r="E65" i="1"/>
  <c r="E64" i="1"/>
  <c r="E63" i="1"/>
  <c r="E62" i="1"/>
  <c r="E61" i="1"/>
  <c r="M61" i="1" s="1"/>
  <c r="E60" i="1"/>
  <c r="E59" i="1"/>
  <c r="M59" i="1" s="1"/>
  <c r="E58" i="1"/>
  <c r="E57" i="1"/>
  <c r="M57" i="1" s="1"/>
  <c r="E56" i="1"/>
  <c r="E55" i="1"/>
  <c r="M55" i="1" s="1"/>
  <c r="M78" i="1"/>
  <c r="M70" i="1"/>
  <c r="M77" i="1"/>
  <c r="E54" i="1"/>
  <c r="E49" i="1"/>
  <c r="E50" i="1"/>
  <c r="E51" i="1"/>
  <c r="M51" i="1" s="1"/>
  <c r="E41" i="1"/>
  <c r="E40" i="1"/>
  <c r="E21" i="1"/>
  <c r="E20" i="1"/>
  <c r="D68" i="1"/>
  <c r="M23" i="1"/>
  <c r="M24" i="1"/>
  <c r="M52" i="1"/>
  <c r="M71" i="1"/>
  <c r="I46" i="1"/>
  <c r="I13" i="8" s="1"/>
  <c r="I10" i="1"/>
  <c r="I9" i="1"/>
  <c r="M67" i="1" l="1"/>
  <c r="M60" i="1"/>
  <c r="M54" i="1"/>
  <c r="M69" i="1"/>
  <c r="M63" i="1"/>
  <c r="M66" i="1"/>
  <c r="M76" i="1"/>
  <c r="M65" i="1"/>
  <c r="M93" i="1"/>
  <c r="M50" i="1"/>
  <c r="M49" i="1"/>
  <c r="M75" i="1"/>
  <c r="M41" i="1"/>
  <c r="M20" i="1"/>
  <c r="M64" i="1"/>
  <c r="I44" i="7" l="1"/>
  <c r="I56" i="7"/>
  <c r="M41" i="7"/>
  <c r="G68" i="1" s="1"/>
  <c r="M68" i="1" s="1"/>
  <c r="I41" i="7"/>
  <c r="I30" i="7"/>
  <c r="K30" i="7"/>
  <c r="I14" i="7"/>
  <c r="I12" i="7"/>
  <c r="L16" i="4"/>
  <c r="I27" i="3"/>
  <c r="J51" i="6"/>
  <c r="J44" i="6"/>
  <c r="L23" i="6" l="1"/>
  <c r="E38" i="1" s="1"/>
  <c r="M38" i="1" s="1"/>
  <c r="K25" i="3"/>
  <c r="K27" i="3" s="1"/>
  <c r="D42" i="1" s="1"/>
  <c r="M42" i="1" s="1"/>
  <c r="K38" i="3"/>
  <c r="N37" i="5"/>
  <c r="H48" i="1" s="1"/>
  <c r="L13" i="5"/>
  <c r="L9" i="5"/>
  <c r="L36" i="6"/>
  <c r="E48" i="1" s="1"/>
  <c r="L44" i="3" l="1"/>
  <c r="D56" i="1"/>
  <c r="M56" i="1" s="1"/>
  <c r="L22" i="6"/>
  <c r="R10" i="5"/>
  <c r="R11" i="5"/>
  <c r="R13" i="5"/>
  <c r="R15" i="5"/>
  <c r="R16" i="5"/>
  <c r="R22" i="5"/>
  <c r="R25" i="5"/>
  <c r="R26" i="5"/>
  <c r="R37" i="5"/>
  <c r="R38" i="5"/>
  <c r="R39" i="5"/>
  <c r="R40" i="5"/>
  <c r="R44" i="5"/>
  <c r="R45" i="5"/>
  <c r="R46" i="5"/>
  <c r="R48" i="5"/>
  <c r="R50" i="5"/>
  <c r="R51" i="5"/>
  <c r="R52" i="5"/>
  <c r="R53" i="5"/>
  <c r="R54" i="5"/>
  <c r="R55" i="5"/>
  <c r="R56" i="5"/>
  <c r="R59" i="5"/>
  <c r="R60" i="5"/>
  <c r="R61" i="5"/>
  <c r="R62" i="5"/>
  <c r="R69" i="5"/>
  <c r="R70" i="5"/>
  <c r="R71" i="5"/>
  <c r="R72" i="5"/>
  <c r="R76" i="5"/>
  <c r="O76" i="5"/>
  <c r="P76" i="5" s="1"/>
  <c r="P69" i="5"/>
  <c r="P70" i="5"/>
  <c r="P71" i="5"/>
  <c r="O72" i="5"/>
  <c r="P72" i="5" s="1"/>
  <c r="O71" i="5"/>
  <c r="O70" i="5"/>
  <c r="O69" i="5"/>
  <c r="P61" i="5"/>
  <c r="P62" i="5"/>
  <c r="O63" i="5"/>
  <c r="P63" i="5" s="1"/>
  <c r="O62" i="5"/>
  <c r="O61" i="5"/>
  <c r="P50" i="5"/>
  <c r="P51" i="5"/>
  <c r="P52" i="5"/>
  <c r="P54" i="5"/>
  <c r="O59" i="5"/>
  <c r="P59" i="5" s="1"/>
  <c r="O58" i="5"/>
  <c r="P58" i="5" s="1"/>
  <c r="O56" i="5"/>
  <c r="P56" i="5" s="1"/>
  <c r="O55" i="5"/>
  <c r="P55" i="5" s="1"/>
  <c r="O54" i="5"/>
  <c r="O53" i="5"/>
  <c r="P53" i="5" s="1"/>
  <c r="O52" i="5"/>
  <c r="O51" i="5"/>
  <c r="P45" i="5"/>
  <c r="P46" i="5"/>
  <c r="O50" i="5"/>
  <c r="O48" i="5"/>
  <c r="P48" i="5" s="1"/>
  <c r="O46" i="5"/>
  <c r="O45" i="5"/>
  <c r="O44" i="5"/>
  <c r="P44" i="5" s="1"/>
  <c r="O43" i="5"/>
  <c r="P43" i="5" s="1"/>
  <c r="P40" i="5"/>
  <c r="O40" i="5"/>
  <c r="O39" i="5"/>
  <c r="P39" i="5" s="1"/>
  <c r="O38" i="5"/>
  <c r="P38" i="5" s="1"/>
  <c r="O37" i="5"/>
  <c r="P37" i="5" s="1"/>
  <c r="N9" i="5"/>
  <c r="H13" i="1" s="1"/>
  <c r="N66" i="5"/>
  <c r="H83" i="1" s="1"/>
  <c r="N36" i="5"/>
  <c r="R36" i="5" s="1"/>
  <c r="N41" i="5"/>
  <c r="O41" i="5" s="1"/>
  <c r="P41" i="5" s="1"/>
  <c r="N77" i="5"/>
  <c r="N22" i="5"/>
  <c r="N15" i="5"/>
  <c r="H18" i="1" s="1"/>
  <c r="L7" i="5"/>
  <c r="L8" i="5"/>
  <c r="L10" i="5"/>
  <c r="L11" i="5"/>
  <c r="L12" i="5"/>
  <c r="L15" i="5"/>
  <c r="L16" i="5"/>
  <c r="L17" i="5"/>
  <c r="L18" i="5"/>
  <c r="N18" i="5" s="1"/>
  <c r="L19" i="5"/>
  <c r="N19" i="5" s="1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6" i="5"/>
  <c r="H31" i="1" l="1"/>
  <c r="M31" i="1" s="1"/>
  <c r="P19" i="5"/>
  <c r="R19" i="5"/>
  <c r="H29" i="1"/>
  <c r="N17" i="5"/>
  <c r="R17" i="5" s="1"/>
  <c r="R18" i="5"/>
  <c r="O18" i="5"/>
  <c r="R9" i="5"/>
  <c r="O66" i="5"/>
  <c r="P66" i="5" s="1"/>
  <c r="N8" i="5"/>
  <c r="O9" i="5"/>
  <c r="R66" i="5"/>
  <c r="R77" i="5"/>
  <c r="H95" i="1"/>
  <c r="P15" i="5"/>
  <c r="R41" i="5"/>
  <c r="O36" i="5"/>
  <c r="P36" i="5" s="1"/>
  <c r="N68" i="5"/>
  <c r="N14" i="4"/>
  <c r="F36" i="1" s="1"/>
  <c r="L74" i="6"/>
  <c r="L38" i="3"/>
  <c r="L35" i="3"/>
  <c r="F67" i="3"/>
  <c r="F34" i="3"/>
  <c r="I34" i="3" s="1"/>
  <c r="N65" i="5" l="1"/>
  <c r="H85" i="1"/>
  <c r="R68" i="5"/>
  <c r="O68" i="5"/>
  <c r="P68" i="5" s="1"/>
  <c r="F30" i="3"/>
  <c r="F6" i="3" s="1"/>
  <c r="N7" i="5"/>
  <c r="R7" i="5" s="1"/>
  <c r="R8" i="5"/>
  <c r="U10" i="5"/>
  <c r="N35" i="5"/>
  <c r="P65" i="5"/>
  <c r="R65" i="5"/>
  <c r="O65" i="5"/>
  <c r="O35" i="5"/>
  <c r="P35" i="5" s="1"/>
  <c r="R35" i="5"/>
  <c r="H46" i="1"/>
  <c r="H13" i="8" s="1"/>
  <c r="N13" i="6"/>
  <c r="N14" i="6"/>
  <c r="N22" i="6"/>
  <c r="N23" i="6"/>
  <c r="N25" i="6"/>
  <c r="N26" i="6"/>
  <c r="N27" i="6"/>
  <c r="N28" i="6"/>
  <c r="N36" i="6"/>
  <c r="N37" i="6"/>
  <c r="N38" i="6"/>
  <c r="N39" i="6"/>
  <c r="N43" i="6"/>
  <c r="N44" i="6"/>
  <c r="N45" i="6"/>
  <c r="N47" i="6"/>
  <c r="N49" i="6"/>
  <c r="N50" i="6"/>
  <c r="N51" i="6"/>
  <c r="N52" i="6"/>
  <c r="N53" i="6"/>
  <c r="N54" i="6"/>
  <c r="N55" i="6"/>
  <c r="N57" i="6"/>
  <c r="N58" i="6"/>
  <c r="N60" i="6"/>
  <c r="N61" i="6"/>
  <c r="N67" i="6"/>
  <c r="N68" i="6"/>
  <c r="N69" i="6"/>
  <c r="N70" i="6"/>
  <c r="N74" i="6"/>
  <c r="N75" i="6"/>
  <c r="N32" i="7"/>
  <c r="N31" i="7"/>
  <c r="N28" i="7"/>
  <c r="N29" i="7"/>
  <c r="N30" i="7"/>
  <c r="N13" i="7"/>
  <c r="N11" i="7"/>
  <c r="N16" i="7"/>
  <c r="N15" i="7"/>
  <c r="M35" i="7"/>
  <c r="R35" i="7" s="1"/>
  <c r="M21" i="7"/>
  <c r="R21" i="7" s="1"/>
  <c r="M67" i="7"/>
  <c r="M79" i="7"/>
  <c r="M40" i="7"/>
  <c r="R40" i="7" s="1"/>
  <c r="M27" i="7"/>
  <c r="M12" i="7"/>
  <c r="K9" i="7"/>
  <c r="K10" i="7"/>
  <c r="M10" i="7" s="1"/>
  <c r="K11" i="7"/>
  <c r="K12" i="7"/>
  <c r="K13" i="7"/>
  <c r="K14" i="7"/>
  <c r="M14" i="7" s="1"/>
  <c r="K15" i="7"/>
  <c r="K16" i="7"/>
  <c r="K17" i="7"/>
  <c r="K18" i="7"/>
  <c r="M18" i="7" s="1"/>
  <c r="K19" i="7"/>
  <c r="M19" i="7" s="1"/>
  <c r="K20" i="7"/>
  <c r="M20" i="7" s="1"/>
  <c r="K21" i="7"/>
  <c r="K22" i="7"/>
  <c r="K23" i="7"/>
  <c r="K24" i="7"/>
  <c r="K25" i="7"/>
  <c r="K26" i="7"/>
  <c r="K28" i="7"/>
  <c r="K29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N12" i="7" l="1"/>
  <c r="R12" i="7"/>
  <c r="G26" i="1"/>
  <c r="R10" i="7"/>
  <c r="G13" i="1"/>
  <c r="G11" i="1" s="1"/>
  <c r="N27" i="7"/>
  <c r="R27" i="7"/>
  <c r="N14" i="7"/>
  <c r="R14" i="7"/>
  <c r="G17" i="1"/>
  <c r="R79" i="7"/>
  <c r="G98" i="1"/>
  <c r="R20" i="7"/>
  <c r="G35" i="1"/>
  <c r="M35" i="1" s="1"/>
  <c r="R19" i="7"/>
  <c r="G30" i="1"/>
  <c r="H10" i="1"/>
  <c r="H9" i="8" s="1"/>
  <c r="N6" i="5"/>
  <c r="R6" i="5" s="1"/>
  <c r="R18" i="7"/>
  <c r="G29" i="1"/>
  <c r="M65" i="7"/>
  <c r="R65" i="7" s="1"/>
  <c r="R67" i="7"/>
  <c r="G84" i="1"/>
  <c r="M84" i="1" s="1"/>
  <c r="K27" i="7"/>
  <c r="K8" i="7" s="1"/>
  <c r="K7" i="7" s="1"/>
  <c r="P20" i="7"/>
  <c r="O19" i="7"/>
  <c r="M17" i="7"/>
  <c r="N18" i="7"/>
  <c r="N10" i="7"/>
  <c r="M9" i="7"/>
  <c r="R9" i="7" s="1"/>
  <c r="M34" i="7"/>
  <c r="R34" i="7" s="1"/>
  <c r="O24" i="4"/>
  <c r="P24" i="4"/>
  <c r="O25" i="4"/>
  <c r="P25" i="4"/>
  <c r="O26" i="4"/>
  <c r="P26" i="4"/>
  <c r="O28" i="4"/>
  <c r="P28" i="4"/>
  <c r="O29" i="4"/>
  <c r="P29" i="4"/>
  <c r="O30" i="4"/>
  <c r="P30" i="4"/>
  <c r="O31" i="4"/>
  <c r="P31" i="4"/>
  <c r="O32" i="4"/>
  <c r="P32" i="4"/>
  <c r="O33" i="4"/>
  <c r="P33" i="4"/>
  <c r="O34" i="4"/>
  <c r="P34" i="4"/>
  <c r="O35" i="4"/>
  <c r="P35" i="4"/>
  <c r="O36" i="4"/>
  <c r="P36" i="4"/>
  <c r="O37" i="4"/>
  <c r="P37" i="4"/>
  <c r="O38" i="4"/>
  <c r="P38" i="4"/>
  <c r="O39" i="4"/>
  <c r="P39" i="4"/>
  <c r="O40" i="4"/>
  <c r="P40" i="4"/>
  <c r="O41" i="4"/>
  <c r="P41" i="4"/>
  <c r="O42" i="4"/>
  <c r="P42" i="4"/>
  <c r="O43" i="4"/>
  <c r="P43" i="4"/>
  <c r="O44" i="4"/>
  <c r="P44" i="4"/>
  <c r="O45" i="4"/>
  <c r="P45" i="4"/>
  <c r="O46" i="4"/>
  <c r="P46" i="4"/>
  <c r="O47" i="4"/>
  <c r="P47" i="4"/>
  <c r="O48" i="4"/>
  <c r="P48" i="4"/>
  <c r="O51" i="4"/>
  <c r="P51" i="4"/>
  <c r="O53" i="4"/>
  <c r="P53" i="4"/>
  <c r="O54" i="4"/>
  <c r="P54" i="4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2" i="4"/>
  <c r="P62" i="4"/>
  <c r="O63" i="4"/>
  <c r="P63" i="4"/>
  <c r="O64" i="4"/>
  <c r="P64" i="4"/>
  <c r="O65" i="4"/>
  <c r="P65" i="4"/>
  <c r="R11" i="4"/>
  <c r="R14" i="4"/>
  <c r="R16" i="4"/>
  <c r="R17" i="4"/>
  <c r="R19" i="4"/>
  <c r="R21" i="4"/>
  <c r="R24" i="4"/>
  <c r="R25" i="4"/>
  <c r="R26" i="4"/>
  <c r="R29" i="4"/>
  <c r="R32" i="4"/>
  <c r="R35" i="4"/>
  <c r="R37" i="4"/>
  <c r="R38" i="4"/>
  <c r="R39" i="4"/>
  <c r="R40" i="4"/>
  <c r="R41" i="4"/>
  <c r="R42" i="4"/>
  <c r="R43" i="4"/>
  <c r="R45" i="4"/>
  <c r="R46" i="4"/>
  <c r="R48" i="4"/>
  <c r="R53" i="4"/>
  <c r="R55" i="4"/>
  <c r="R56" i="4"/>
  <c r="R60" i="4"/>
  <c r="R61" i="4"/>
  <c r="M29" i="1" l="1"/>
  <c r="N17" i="7"/>
  <c r="O17" i="7" s="1"/>
  <c r="P17" i="7" s="1"/>
  <c r="R17" i="7"/>
  <c r="N9" i="7"/>
  <c r="O9" i="7" s="1"/>
  <c r="P9" i="7" s="1"/>
  <c r="N34" i="7"/>
  <c r="G46" i="1"/>
  <c r="M8" i="7"/>
  <c r="R8" i="7" s="1"/>
  <c r="N37" i="7"/>
  <c r="N36" i="7"/>
  <c r="N35" i="7"/>
  <c r="N27" i="4"/>
  <c r="N23" i="4"/>
  <c r="N15" i="4"/>
  <c r="R15" i="4" s="1"/>
  <c r="L62" i="4"/>
  <c r="L59" i="4"/>
  <c r="L54" i="4"/>
  <c r="L53" i="4"/>
  <c r="L52" i="4"/>
  <c r="L49" i="4"/>
  <c r="L46" i="4"/>
  <c r="L45" i="4"/>
  <c r="L44" i="4"/>
  <c r="L43" i="4"/>
  <c r="L42" i="4"/>
  <c r="L39" i="4"/>
  <c r="L38" i="4"/>
  <c r="L37" i="4"/>
  <c r="L35" i="4"/>
  <c r="L34" i="4"/>
  <c r="L33" i="4"/>
  <c r="L31" i="4"/>
  <c r="L30" i="4"/>
  <c r="L29" i="4"/>
  <c r="L23" i="4"/>
  <c r="L21" i="4"/>
  <c r="L19" i="4"/>
  <c r="L18" i="4"/>
  <c r="L17" i="4"/>
  <c r="L15" i="4" s="1"/>
  <c r="L14" i="4"/>
  <c r="L13" i="4"/>
  <c r="N13" i="4" s="1"/>
  <c r="F30" i="1" s="1"/>
  <c r="M30" i="1" s="1"/>
  <c r="L12" i="4"/>
  <c r="Q28" i="1" s="1"/>
  <c r="L11" i="4"/>
  <c r="L9" i="4"/>
  <c r="L10" i="4"/>
  <c r="N10" i="4" s="1"/>
  <c r="L20" i="4"/>
  <c r="L25" i="4"/>
  <c r="L26" i="4"/>
  <c r="L32" i="4"/>
  <c r="L36" i="4"/>
  <c r="L40" i="4"/>
  <c r="L41" i="4"/>
  <c r="L47" i="4"/>
  <c r="L51" i="4"/>
  <c r="L55" i="4"/>
  <c r="L56" i="4"/>
  <c r="L57" i="4"/>
  <c r="L58" i="4"/>
  <c r="L63" i="4"/>
  <c r="L64" i="4"/>
  <c r="E59" i="4"/>
  <c r="E58" i="4" s="1"/>
  <c r="F58" i="4"/>
  <c r="R10" i="4" l="1"/>
  <c r="F18" i="1"/>
  <c r="M18" i="1" s="1"/>
  <c r="P10" i="4"/>
  <c r="N9" i="4"/>
  <c r="N8" i="4" s="1"/>
  <c r="R8" i="4" s="1"/>
  <c r="G13" i="8"/>
  <c r="N8" i="7"/>
  <c r="O8" i="7" s="1"/>
  <c r="P8" i="7" s="1"/>
  <c r="G10" i="1"/>
  <c r="G9" i="8" s="1"/>
  <c r="M7" i="7"/>
  <c r="O27" i="4"/>
  <c r="P27" i="4"/>
  <c r="R23" i="4"/>
  <c r="P23" i="4"/>
  <c r="O23" i="4"/>
  <c r="R27" i="4"/>
  <c r="N12" i="4"/>
  <c r="R12" i="4" s="1"/>
  <c r="R13" i="4"/>
  <c r="L24" i="4"/>
  <c r="L61" i="4"/>
  <c r="L48" i="4"/>
  <c r="L27" i="4"/>
  <c r="Q53" i="1" s="1"/>
  <c r="L50" i="4"/>
  <c r="N50" i="4" s="1"/>
  <c r="L28" i="4"/>
  <c r="L8" i="4"/>
  <c r="L7" i="4" s="1"/>
  <c r="L60" i="4"/>
  <c r="L22" i="4" l="1"/>
  <c r="L6" i="4" s="1"/>
  <c r="F17" i="1"/>
  <c r="M17" i="1" s="1"/>
  <c r="O9" i="4"/>
  <c r="R9" i="4"/>
  <c r="F83" i="1"/>
  <c r="O50" i="4"/>
  <c r="P50" i="4"/>
  <c r="N7" i="7"/>
  <c r="O7" i="7" s="1"/>
  <c r="P7" i="7" s="1"/>
  <c r="R7" i="7"/>
  <c r="N7" i="4"/>
  <c r="N52" i="4"/>
  <c r="F85" i="1" s="1"/>
  <c r="R50" i="4"/>
  <c r="P52" i="4" l="1"/>
  <c r="O52" i="4"/>
  <c r="R7" i="4"/>
  <c r="F10" i="1"/>
  <c r="F9" i="8" s="1"/>
  <c r="N49" i="4"/>
  <c r="R52" i="4"/>
  <c r="L15" i="6"/>
  <c r="D7" i="6"/>
  <c r="D6" i="6" s="1"/>
  <c r="E22" i="1" l="1"/>
  <c r="M22" i="1" s="1"/>
  <c r="N15" i="6"/>
  <c r="P49" i="4"/>
  <c r="O49" i="4"/>
  <c r="N22" i="4"/>
  <c r="F46" i="1" s="1"/>
  <c r="F13" i="8" s="1"/>
  <c r="R49" i="4"/>
  <c r="P22" i="4" l="1"/>
  <c r="O22" i="4"/>
  <c r="N6" i="4"/>
  <c r="R6" i="4" s="1"/>
  <c r="R22" i="4"/>
  <c r="O34" i="7" l="1"/>
  <c r="P34" i="7" s="1"/>
  <c r="O35" i="7" l="1"/>
  <c r="P35" i="7" s="1"/>
  <c r="O36" i="7" l="1"/>
  <c r="P36" i="7" s="1"/>
  <c r="O37" i="7" l="1"/>
  <c r="P37" i="7" s="1"/>
  <c r="N38" i="7"/>
  <c r="O38" i="7" l="1"/>
  <c r="P38" i="7" s="1"/>
  <c r="N39" i="7"/>
  <c r="O39" i="7" l="1"/>
  <c r="P39" i="7" s="1"/>
  <c r="N40" i="7"/>
  <c r="O40" i="7" l="1"/>
  <c r="P40" i="7" s="1"/>
  <c r="N41" i="7"/>
  <c r="N42" i="7" l="1"/>
  <c r="O41" i="7"/>
  <c r="P41" i="7" s="1"/>
  <c r="O42" i="7" l="1"/>
  <c r="P42" i="7" s="1"/>
  <c r="N43" i="7"/>
  <c r="O43" i="7" l="1"/>
  <c r="P43" i="7" s="1"/>
  <c r="N44" i="7"/>
  <c r="N45" i="7" l="1"/>
  <c r="O44" i="7"/>
  <c r="P44" i="7" s="1"/>
  <c r="O45" i="7" l="1"/>
  <c r="P45" i="7" s="1"/>
  <c r="N46" i="7"/>
  <c r="O46" i="7" l="1"/>
  <c r="P46" i="7" s="1"/>
  <c r="N47" i="7"/>
  <c r="O47" i="7" l="1"/>
  <c r="P47" i="7" s="1"/>
  <c r="N48" i="7"/>
  <c r="O48" i="7" l="1"/>
  <c r="P48" i="7" s="1"/>
  <c r="N49" i="7"/>
  <c r="N50" i="7" l="1"/>
  <c r="O49" i="7"/>
  <c r="P49" i="7" s="1"/>
  <c r="O50" i="7" l="1"/>
  <c r="P50" i="7" s="1"/>
  <c r="N51" i="7"/>
  <c r="O51" i="7" l="1"/>
  <c r="P51" i="7" s="1"/>
  <c r="N52" i="7"/>
  <c r="N53" i="7" l="1"/>
  <c r="O52" i="7"/>
  <c r="P52" i="7" s="1"/>
  <c r="O53" i="7" l="1"/>
  <c r="P53" i="7" s="1"/>
  <c r="N54" i="7"/>
  <c r="O54" i="7" l="1"/>
  <c r="P54" i="7" s="1"/>
  <c r="N55" i="7"/>
  <c r="O55" i="7" l="1"/>
  <c r="P55" i="7" s="1"/>
  <c r="N56" i="7"/>
  <c r="O56" i="7" l="1"/>
  <c r="P56" i="7" s="1"/>
  <c r="N57" i="7"/>
  <c r="N58" i="7" l="1"/>
  <c r="O57" i="7"/>
  <c r="P57" i="7" s="1"/>
  <c r="O58" i="7" l="1"/>
  <c r="P58" i="7" s="1"/>
  <c r="N59" i="7"/>
  <c r="O59" i="7" l="1"/>
  <c r="P59" i="7" s="1"/>
  <c r="N60" i="7"/>
  <c r="L40" i="6"/>
  <c r="N40" i="6" s="1"/>
  <c r="L11" i="6"/>
  <c r="L24" i="6"/>
  <c r="N24" i="6" s="1"/>
  <c r="N11" i="6" l="1"/>
  <c r="E26" i="1"/>
  <c r="N61" i="7"/>
  <c r="O60" i="7"/>
  <c r="P60" i="7" s="1"/>
  <c r="L35" i="6"/>
  <c r="N35" i="6" l="1"/>
  <c r="N62" i="7"/>
  <c r="O61" i="7"/>
  <c r="P61" i="7" s="1"/>
  <c r="O62" i="7" l="1"/>
  <c r="P62" i="7" s="1"/>
  <c r="N63" i="7"/>
  <c r="O63" i="7" l="1"/>
  <c r="P63" i="7" s="1"/>
  <c r="N64" i="7"/>
  <c r="O64" i="7" l="1"/>
  <c r="P64" i="7" s="1"/>
  <c r="N65" i="7"/>
  <c r="N66" i="7" l="1"/>
  <c r="O65" i="7"/>
  <c r="P65" i="7" s="1"/>
  <c r="O66" i="7" l="1"/>
  <c r="P66" i="7" s="1"/>
  <c r="N67" i="7"/>
  <c r="O67" i="7" l="1"/>
  <c r="P67" i="7" s="1"/>
  <c r="N68" i="7"/>
  <c r="N69" i="7" l="1"/>
  <c r="O68" i="7"/>
  <c r="P68" i="7" s="1"/>
  <c r="O69" i="7" l="1"/>
  <c r="P69" i="7" s="1"/>
  <c r="N70" i="7"/>
  <c r="O70" i="7" l="1"/>
  <c r="P70" i="7" s="1"/>
  <c r="N71" i="7"/>
  <c r="O71" i="7" l="1"/>
  <c r="P71" i="7" s="1"/>
  <c r="N72" i="7"/>
  <c r="O72" i="7" l="1"/>
  <c r="P72" i="7" s="1"/>
  <c r="N73" i="7"/>
  <c r="N74" i="7" l="1"/>
  <c r="O73" i="7"/>
  <c r="P73" i="7" s="1"/>
  <c r="O74" i="7" l="1"/>
  <c r="P74" i="7" s="1"/>
  <c r="N75" i="7"/>
  <c r="O75" i="7" l="1"/>
  <c r="P75" i="7" s="1"/>
  <c r="N76" i="7"/>
  <c r="N77" i="7" l="1"/>
  <c r="O76" i="7"/>
  <c r="P76" i="7" s="1"/>
  <c r="N78" i="7" l="1"/>
  <c r="O77" i="7"/>
  <c r="P77" i="7" s="1"/>
  <c r="O78" i="7" l="1"/>
  <c r="P78" i="7" s="1"/>
  <c r="N79" i="7"/>
  <c r="O79" i="7" l="1"/>
  <c r="P79" i="7" s="1"/>
  <c r="N80" i="7"/>
  <c r="O80" i="7" l="1"/>
  <c r="P80" i="7" s="1"/>
  <c r="N81" i="7"/>
  <c r="N82" i="7" l="1"/>
  <c r="O81" i="7"/>
  <c r="P81" i="7" s="1"/>
  <c r="O82" i="7" l="1"/>
  <c r="P82" i="7" s="1"/>
  <c r="N83" i="7"/>
  <c r="O83" i="7" l="1"/>
  <c r="P83" i="7" s="1"/>
  <c r="J7" i="6"/>
  <c r="J8" i="6"/>
  <c r="J9" i="6"/>
  <c r="L9" i="6" s="1"/>
  <c r="J10" i="6"/>
  <c r="L10" i="6" s="1"/>
  <c r="J11" i="6"/>
  <c r="J12" i="6"/>
  <c r="J13" i="6"/>
  <c r="J14" i="6"/>
  <c r="J15" i="6"/>
  <c r="J16" i="6"/>
  <c r="J17" i="6"/>
  <c r="J18" i="6"/>
  <c r="J19" i="6"/>
  <c r="J20" i="6"/>
  <c r="J21" i="6"/>
  <c r="J22" i="6"/>
  <c r="Q37" i="1" s="1"/>
  <c r="J23" i="6"/>
  <c r="J24" i="6"/>
  <c r="J25" i="6"/>
  <c r="J26" i="6"/>
  <c r="J27" i="6"/>
  <c r="J28" i="6"/>
  <c r="J29" i="6"/>
  <c r="J30" i="6"/>
  <c r="J31" i="6"/>
  <c r="Q43" i="1" s="1"/>
  <c r="J32" i="6"/>
  <c r="J33" i="6"/>
  <c r="J34" i="6"/>
  <c r="J35" i="6"/>
  <c r="Q47" i="1" s="1"/>
  <c r="J36" i="6"/>
  <c r="J37" i="6"/>
  <c r="J38" i="6"/>
  <c r="J39" i="6"/>
  <c r="J40" i="6"/>
  <c r="J41" i="6"/>
  <c r="J42" i="6"/>
  <c r="J43" i="6"/>
  <c r="J45" i="6"/>
  <c r="J46" i="6"/>
  <c r="J47" i="6"/>
  <c r="J48" i="6"/>
  <c r="J49" i="6"/>
  <c r="J50" i="6"/>
  <c r="J52" i="6"/>
  <c r="J53" i="6"/>
  <c r="J54" i="6"/>
  <c r="J55" i="6"/>
  <c r="J56" i="6"/>
  <c r="J57" i="6"/>
  <c r="J58" i="6"/>
  <c r="J59" i="6"/>
  <c r="J60" i="6"/>
  <c r="J61" i="6"/>
  <c r="J62" i="6"/>
  <c r="J63" i="6"/>
  <c r="Q82" i="1" s="1"/>
  <c r="J64" i="6"/>
  <c r="L64" i="6" s="1"/>
  <c r="J65" i="6"/>
  <c r="J66" i="6"/>
  <c r="J67" i="6"/>
  <c r="J68" i="6"/>
  <c r="J69" i="6"/>
  <c r="J70" i="6"/>
  <c r="J71" i="6"/>
  <c r="J72" i="6"/>
  <c r="J73" i="6"/>
  <c r="J74" i="6"/>
  <c r="Q94" i="1" s="1"/>
  <c r="J75" i="6"/>
  <c r="J76" i="6"/>
  <c r="Q96" i="1" s="1"/>
  <c r="J77" i="6"/>
  <c r="J78" i="6"/>
  <c r="J6" i="6"/>
  <c r="Q39" i="1" l="1"/>
  <c r="L8" i="6"/>
  <c r="E25" i="1"/>
  <c r="M25" i="1" s="1"/>
  <c r="E13" i="1"/>
  <c r="N9" i="6"/>
  <c r="L66" i="6"/>
  <c r="E83" i="1"/>
  <c r="N64" i="6"/>
  <c r="M13" i="1" l="1"/>
  <c r="E11" i="1"/>
  <c r="N8" i="6"/>
  <c r="L7" i="6"/>
  <c r="E10" i="1" s="1"/>
  <c r="E85" i="1"/>
  <c r="N66" i="6"/>
  <c r="L63" i="6"/>
  <c r="L34" i="6" s="1"/>
  <c r="N63" i="6"/>
  <c r="E46" i="1" l="1"/>
  <c r="E13" i="8" s="1"/>
  <c r="N7" i="6"/>
  <c r="E9" i="8"/>
  <c r="N34" i="6"/>
  <c r="L6" i="6"/>
  <c r="N6" i="6" s="1"/>
  <c r="I11" i="3" l="1"/>
  <c r="K11" i="3"/>
  <c r="D12" i="1" s="1"/>
  <c r="K8" i="3"/>
  <c r="I9" i="3"/>
  <c r="I10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6" i="3"/>
  <c r="I28" i="3"/>
  <c r="I29" i="3"/>
  <c r="I30" i="3"/>
  <c r="Q46" i="1" s="1"/>
  <c r="I31" i="3"/>
  <c r="I32" i="3"/>
  <c r="I33" i="3"/>
  <c r="I35" i="3"/>
  <c r="I36" i="3"/>
  <c r="I37" i="3"/>
  <c r="I38" i="3"/>
  <c r="K34" i="3" s="1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8" i="3"/>
  <c r="K7" i="3" l="1"/>
  <c r="L8" i="3"/>
  <c r="I7" i="3"/>
  <c r="Q11" i="1"/>
  <c r="D11" i="1"/>
  <c r="D10" i="8" s="1"/>
  <c r="M12" i="1"/>
  <c r="L34" i="3"/>
  <c r="K30" i="3"/>
  <c r="D46" i="1" s="1"/>
  <c r="M46" i="1" s="1"/>
  <c r="I6" i="3" l="1"/>
  <c r="Q9" i="1" s="1"/>
  <c r="Q10" i="1"/>
  <c r="D10" i="1"/>
  <c r="L7" i="3"/>
  <c r="D13" i="8"/>
  <c r="L30" i="3"/>
  <c r="K6" i="3"/>
  <c r="L6" i="3" s="1"/>
  <c r="D9" i="8" l="1"/>
  <c r="M10" i="1"/>
  <c r="M9" i="1" s="1"/>
  <c r="M13" i="8"/>
  <c r="D18" i="8"/>
  <c r="I95" i="1"/>
  <c r="M95" i="1" s="1"/>
  <c r="M91" i="1"/>
  <c r="M89" i="1"/>
  <c r="M88" i="1"/>
  <c r="I48" i="1"/>
  <c r="M48" i="1" s="1"/>
  <c r="I27" i="1"/>
  <c r="M27" i="1" s="1"/>
  <c r="I40" i="1" l="1"/>
  <c r="I33" i="1"/>
  <c r="M33" i="1" s="1"/>
  <c r="I34" i="1"/>
  <c r="M34" i="1" s="1"/>
  <c r="I32" i="1"/>
  <c r="M32" i="1" s="1"/>
  <c r="I26" i="1"/>
  <c r="M26" i="1" s="1"/>
  <c r="I19" i="1"/>
  <c r="M19" i="1" s="1"/>
  <c r="H37" i="1" l="1"/>
  <c r="M21" i="1"/>
  <c r="H82" i="1" l="1"/>
  <c r="G36" i="1" l="1"/>
  <c r="G28" i="1" s="1"/>
  <c r="E37" i="1"/>
  <c r="M37" i="1" s="1"/>
  <c r="N37" i="1" s="1"/>
  <c r="E36" i="1"/>
  <c r="D85" i="1"/>
  <c r="M85" i="1" s="1"/>
  <c r="M36" i="1" l="1"/>
  <c r="E47" i="1"/>
  <c r="E13" i="5" l="1"/>
  <c r="F61" i="5"/>
  <c r="E61" i="5"/>
  <c r="F82" i="5"/>
  <c r="E82" i="5"/>
  <c r="F76" i="5"/>
  <c r="F77" i="5"/>
  <c r="F78" i="5"/>
  <c r="F79" i="5"/>
  <c r="F80" i="5"/>
  <c r="F81" i="5"/>
  <c r="E76" i="5"/>
  <c r="E77" i="5"/>
  <c r="E78" i="5"/>
  <c r="E79" i="5"/>
  <c r="E80" i="5"/>
  <c r="E81" i="5"/>
  <c r="E36" i="5"/>
  <c r="F29" i="5"/>
  <c r="F31" i="5"/>
  <c r="E29" i="5"/>
  <c r="E31" i="5"/>
  <c r="G75" i="6"/>
  <c r="G31" i="6" l="1"/>
  <c r="G22" i="6"/>
  <c r="G78" i="7"/>
  <c r="G77" i="7" s="1"/>
  <c r="F78" i="7"/>
  <c r="F77" i="7" s="1"/>
  <c r="E78" i="7"/>
  <c r="E77" i="7" s="1"/>
  <c r="G63" i="6" l="1"/>
  <c r="G9" i="3" l="1"/>
  <c r="G10" i="3"/>
  <c r="G12" i="3"/>
  <c r="G14" i="3"/>
  <c r="G15" i="3"/>
  <c r="G16" i="3"/>
  <c r="G17" i="3"/>
  <c r="G19" i="3"/>
  <c r="G20" i="3"/>
  <c r="G21" i="3"/>
  <c r="G22" i="3"/>
  <c r="G24" i="3"/>
  <c r="G28" i="3"/>
  <c r="G29" i="3"/>
  <c r="G32" i="3"/>
  <c r="G33" i="3"/>
  <c r="G36" i="3"/>
  <c r="G3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60" i="3"/>
  <c r="G61" i="3"/>
  <c r="G62" i="3"/>
  <c r="G63" i="3"/>
  <c r="G64" i="3"/>
  <c r="G65" i="3"/>
  <c r="G66" i="3"/>
  <c r="G68" i="3"/>
  <c r="G69" i="3"/>
  <c r="G70" i="3"/>
  <c r="G71" i="3"/>
  <c r="G11" i="3"/>
  <c r="G35" i="3"/>
  <c r="F10" i="4"/>
  <c r="E44" i="1"/>
  <c r="M44" i="1" s="1"/>
  <c r="G38" i="3" l="1"/>
  <c r="G26" i="3"/>
  <c r="M90" i="1" l="1"/>
  <c r="M87" i="1"/>
  <c r="I16" i="1"/>
  <c r="M16" i="1" s="1"/>
  <c r="I15" i="1"/>
  <c r="M15" i="1" s="1"/>
  <c r="I14" i="1"/>
  <c r="I11" i="1" l="1"/>
  <c r="M14" i="1"/>
  <c r="D98" i="1"/>
  <c r="M98" i="1" s="1"/>
  <c r="F31" i="4" l="1"/>
  <c r="E31" i="4"/>
  <c r="F37" i="4"/>
  <c r="E37" i="4"/>
  <c r="E22" i="7"/>
  <c r="F28" i="4" l="1"/>
  <c r="E28" i="4"/>
  <c r="D72" i="1" l="1"/>
  <c r="M72" i="1" s="1"/>
  <c r="G80" i="7" l="1"/>
  <c r="F80" i="7"/>
  <c r="E80" i="7"/>
  <c r="E30" i="7"/>
  <c r="E27" i="7"/>
  <c r="E28" i="7"/>
  <c r="E29" i="7"/>
  <c r="D40" i="1"/>
  <c r="M40" i="1" s="1"/>
  <c r="K59" i="1"/>
  <c r="D62" i="1"/>
  <c r="M62" i="1" s="1"/>
  <c r="D73" i="1"/>
  <c r="M73" i="1" s="1"/>
  <c r="D58" i="1"/>
  <c r="M58" i="1" s="1"/>
  <c r="F39" i="1"/>
  <c r="H39" i="1"/>
  <c r="E94" i="1"/>
  <c r="E96" i="1"/>
  <c r="D92" i="1"/>
  <c r="D94" i="1"/>
  <c r="D97" i="1"/>
  <c r="F92" i="1"/>
  <c r="F94" i="1"/>
  <c r="F96" i="1"/>
  <c r="G92" i="1"/>
  <c r="G94" i="1"/>
  <c r="G96" i="1"/>
  <c r="H92" i="1"/>
  <c r="H94" i="1"/>
  <c r="H96" i="1"/>
  <c r="I92" i="1"/>
  <c r="I94" i="1"/>
  <c r="I96" i="1"/>
  <c r="D47" i="1"/>
  <c r="D14" i="8" s="1"/>
  <c r="K87" i="1"/>
  <c r="G73" i="6"/>
  <c r="G37" i="6"/>
  <c r="G62" i="7"/>
  <c r="G55" i="7"/>
  <c r="G48" i="7"/>
  <c r="G58" i="7"/>
  <c r="G41" i="7"/>
  <c r="G42" i="7"/>
  <c r="G43" i="7"/>
  <c r="G44" i="7"/>
  <c r="G45" i="7"/>
  <c r="G46" i="7"/>
  <c r="G49" i="7"/>
  <c r="G50" i="7"/>
  <c r="G51" i="7"/>
  <c r="G52" i="7"/>
  <c r="G53" i="7"/>
  <c r="G54" i="7"/>
  <c r="G56" i="7"/>
  <c r="G59" i="7"/>
  <c r="G60" i="7"/>
  <c r="G61" i="7"/>
  <c r="G63" i="7"/>
  <c r="F62" i="7"/>
  <c r="F55" i="7"/>
  <c r="F48" i="7"/>
  <c r="F58" i="7"/>
  <c r="F41" i="7"/>
  <c r="F42" i="7"/>
  <c r="F43" i="7"/>
  <c r="F44" i="7"/>
  <c r="F45" i="7"/>
  <c r="F46" i="7"/>
  <c r="F49" i="7"/>
  <c r="F50" i="7"/>
  <c r="F51" i="7"/>
  <c r="F52" i="7"/>
  <c r="F53" i="7"/>
  <c r="F54" i="7"/>
  <c r="F56" i="7"/>
  <c r="F59" i="7"/>
  <c r="F60" i="7"/>
  <c r="F61" i="7"/>
  <c r="F63" i="7"/>
  <c r="E62" i="7"/>
  <c r="E55" i="7"/>
  <c r="E48" i="7"/>
  <c r="E58" i="7"/>
  <c r="E41" i="7"/>
  <c r="E42" i="7"/>
  <c r="E43" i="7"/>
  <c r="E44" i="7"/>
  <c r="E45" i="7"/>
  <c r="E46" i="7"/>
  <c r="E49" i="7"/>
  <c r="E50" i="7"/>
  <c r="E51" i="7"/>
  <c r="E52" i="7"/>
  <c r="E53" i="7"/>
  <c r="E54" i="7"/>
  <c r="E56" i="7"/>
  <c r="E59" i="7"/>
  <c r="E60" i="7"/>
  <c r="E61" i="7"/>
  <c r="E63" i="7"/>
  <c r="G25" i="7"/>
  <c r="F25" i="7"/>
  <c r="E26" i="7"/>
  <c r="E25" i="7" s="1"/>
  <c r="G9" i="7"/>
  <c r="G20" i="7"/>
  <c r="G17" i="7" s="1"/>
  <c r="G31" i="7"/>
  <c r="G23" i="7"/>
  <c r="F14" i="7"/>
  <c r="F9" i="7" s="1"/>
  <c r="F19" i="7"/>
  <c r="F17" i="7" s="1"/>
  <c r="F31" i="7"/>
  <c r="F23" i="7"/>
  <c r="E11" i="7"/>
  <c r="E12" i="7"/>
  <c r="E13" i="7"/>
  <c r="E15" i="7"/>
  <c r="E16" i="7"/>
  <c r="E18" i="7"/>
  <c r="E17" i="7" s="1"/>
  <c r="E32" i="7"/>
  <c r="E33" i="7"/>
  <c r="E23" i="7"/>
  <c r="G36" i="7"/>
  <c r="G37" i="7"/>
  <c r="G38" i="7"/>
  <c r="G39" i="7"/>
  <c r="G70" i="7"/>
  <c r="G71" i="7"/>
  <c r="G72" i="7"/>
  <c r="G73" i="7"/>
  <c r="G79" i="7"/>
  <c r="G75" i="7"/>
  <c r="G76" i="7" s="1"/>
  <c r="F36" i="7"/>
  <c r="F37" i="7"/>
  <c r="F38" i="7"/>
  <c r="F39" i="7"/>
  <c r="F70" i="7"/>
  <c r="F71" i="7"/>
  <c r="F72" i="7"/>
  <c r="F73" i="7"/>
  <c r="F79" i="7"/>
  <c r="F75" i="7"/>
  <c r="F76" i="7" s="1"/>
  <c r="E36" i="7"/>
  <c r="E37" i="7"/>
  <c r="E38" i="7"/>
  <c r="E39" i="7"/>
  <c r="E70" i="7"/>
  <c r="E71" i="7"/>
  <c r="E72" i="7"/>
  <c r="E73" i="7"/>
  <c r="E79" i="7"/>
  <c r="E75" i="7"/>
  <c r="E76" i="7" s="1"/>
  <c r="G28" i="6"/>
  <c r="F27" i="5"/>
  <c r="E27" i="5"/>
  <c r="F26" i="5"/>
  <c r="E26" i="5"/>
  <c r="F19" i="5"/>
  <c r="F15" i="5"/>
  <c r="E12" i="5"/>
  <c r="E11" i="5"/>
  <c r="E10" i="5"/>
  <c r="E9" i="5"/>
  <c r="D28" i="1"/>
  <c r="D11" i="8" s="1"/>
  <c r="D43" i="1"/>
  <c r="I43" i="1"/>
  <c r="E28" i="1"/>
  <c r="E11" i="8" s="1"/>
  <c r="E45" i="1"/>
  <c r="M45" i="1" s="1"/>
  <c r="F43" i="1"/>
  <c r="G43" i="1"/>
  <c r="H43" i="1"/>
  <c r="F55" i="4"/>
  <c r="E55" i="4"/>
  <c r="F48" i="4"/>
  <c r="E48" i="4"/>
  <c r="F47" i="4"/>
  <c r="E47" i="4"/>
  <c r="F62" i="4"/>
  <c r="E62" i="4"/>
  <c r="F61" i="4"/>
  <c r="F60" i="4" s="1"/>
  <c r="E61" i="4"/>
  <c r="E60" i="4" s="1"/>
  <c r="F56" i="4"/>
  <c r="E5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5" i="4"/>
  <c r="E35" i="4"/>
  <c r="F32" i="4"/>
  <c r="E32" i="4"/>
  <c r="F29" i="4"/>
  <c r="E29" i="4"/>
  <c r="F26" i="4"/>
  <c r="E26" i="4"/>
  <c r="F24" i="4"/>
  <c r="E24" i="4"/>
  <c r="E37" i="5"/>
  <c r="E39" i="5"/>
  <c r="E40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3" i="5"/>
  <c r="E66" i="5"/>
  <c r="E67" i="5"/>
  <c r="E68" i="5"/>
  <c r="E69" i="5"/>
  <c r="E71" i="5"/>
  <c r="E70" i="5" s="1"/>
  <c r="E73" i="5"/>
  <c r="E72" i="5" s="1"/>
  <c r="F75" i="5"/>
  <c r="E75" i="5"/>
  <c r="F74" i="5"/>
  <c r="E74" i="5"/>
  <c r="F73" i="5"/>
  <c r="F72" i="5" s="1"/>
  <c r="F71" i="5"/>
  <c r="F70" i="5" s="1"/>
  <c r="F69" i="5"/>
  <c r="F68" i="5"/>
  <c r="F67" i="5"/>
  <c r="F66" i="5"/>
  <c r="F63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0" i="5"/>
  <c r="F39" i="5"/>
  <c r="F37" i="5"/>
  <c r="F36" i="5"/>
  <c r="I34" i="5"/>
  <c r="I35" i="5"/>
  <c r="I36" i="5"/>
  <c r="G67" i="3"/>
  <c r="G13" i="3"/>
  <c r="G18" i="3"/>
  <c r="G23" i="3"/>
  <c r="G25" i="3"/>
  <c r="G31" i="3"/>
  <c r="G34" i="3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2" i="5"/>
  <c r="I63" i="5"/>
  <c r="I64" i="5"/>
  <c r="I65" i="5"/>
  <c r="I66" i="5"/>
  <c r="I67" i="5"/>
  <c r="I68" i="5"/>
  <c r="I69" i="5"/>
  <c r="I71" i="5"/>
  <c r="I70" i="5" s="1"/>
  <c r="I73" i="5"/>
  <c r="I72" i="5" s="1"/>
  <c r="I74" i="5"/>
  <c r="I75" i="5"/>
  <c r="K36" i="1"/>
  <c r="K14" i="1"/>
  <c r="K15" i="1"/>
  <c r="K31" i="1"/>
  <c r="K19" i="1"/>
  <c r="K44" i="1"/>
  <c r="K84" i="1"/>
  <c r="D96" i="1" l="1"/>
  <c r="M96" i="1" s="1"/>
  <c r="M97" i="1"/>
  <c r="M94" i="1"/>
  <c r="N94" i="1" s="1"/>
  <c r="E9" i="4"/>
  <c r="D17" i="8"/>
  <c r="K55" i="1"/>
  <c r="G53" i="1"/>
  <c r="G15" i="8" s="1"/>
  <c r="K96" i="1"/>
  <c r="K71" i="1"/>
  <c r="F17" i="8"/>
  <c r="K74" i="1"/>
  <c r="G71" i="6"/>
  <c r="K63" i="1"/>
  <c r="K61" i="1"/>
  <c r="G39" i="1"/>
  <c r="G12" i="8" s="1"/>
  <c r="K89" i="1"/>
  <c r="K58" i="1"/>
  <c r="K69" i="1"/>
  <c r="K98" i="1"/>
  <c r="K62" i="1"/>
  <c r="K67" i="1"/>
  <c r="K18" i="1"/>
  <c r="E39" i="1"/>
  <c r="K54" i="1"/>
  <c r="I82" i="1"/>
  <c r="I16" i="8" s="1"/>
  <c r="D16" i="9" s="1"/>
  <c r="I39" i="1"/>
  <c r="K73" i="1"/>
  <c r="K17" i="1"/>
  <c r="K50" i="1"/>
  <c r="K57" i="1"/>
  <c r="E31" i="7"/>
  <c r="K35" i="1"/>
  <c r="E27" i="4"/>
  <c r="F27" i="4"/>
  <c r="K20" i="1"/>
  <c r="K66" i="1"/>
  <c r="G8" i="7"/>
  <c r="F23" i="4"/>
  <c r="K72" i="1"/>
  <c r="H17" i="8"/>
  <c r="K93" i="1"/>
  <c r="K88" i="1"/>
  <c r="E92" i="1"/>
  <c r="K40" i="1"/>
  <c r="K95" i="1"/>
  <c r="K65" i="1"/>
  <c r="F12" i="8"/>
  <c r="F47" i="1"/>
  <c r="K75" i="1"/>
  <c r="K48" i="1"/>
  <c r="I47" i="1"/>
  <c r="I14" i="8" s="1"/>
  <c r="I28" i="1"/>
  <c r="I15" i="8"/>
  <c r="D15" i="9" s="1"/>
  <c r="I10" i="8"/>
  <c r="D10" i="9" s="1"/>
  <c r="H11" i="1"/>
  <c r="H10" i="8" s="1"/>
  <c r="I61" i="5"/>
  <c r="I38" i="5"/>
  <c r="K64" i="1"/>
  <c r="E40" i="7"/>
  <c r="G40" i="7"/>
  <c r="F40" i="7"/>
  <c r="G47" i="1"/>
  <c r="G14" i="8" s="1"/>
  <c r="E35" i="7"/>
  <c r="F35" i="7"/>
  <c r="G35" i="7"/>
  <c r="F8" i="7"/>
  <c r="F53" i="1"/>
  <c r="F15" i="8" s="1"/>
  <c r="E23" i="4"/>
  <c r="F11" i="1"/>
  <c r="F10" i="8" s="1"/>
  <c r="E53" i="1"/>
  <c r="K60" i="1"/>
  <c r="E14" i="8"/>
  <c r="K94" i="1"/>
  <c r="D53" i="1"/>
  <c r="G8" i="3"/>
  <c r="E10" i="7"/>
  <c r="E9" i="7" s="1"/>
  <c r="E43" i="1"/>
  <c r="M43" i="1" s="1"/>
  <c r="H12" i="8"/>
  <c r="D39" i="1"/>
  <c r="I17" i="8"/>
  <c r="D17" i="9" s="1"/>
  <c r="G17" i="8"/>
  <c r="F14" i="8" l="1"/>
  <c r="K92" i="1"/>
  <c r="L92" i="1" s="1"/>
  <c r="M92" i="1"/>
  <c r="M39" i="1"/>
  <c r="N39" i="1" s="1"/>
  <c r="D15" i="8"/>
  <c r="E18" i="5"/>
  <c r="I11" i="8"/>
  <c r="D11" i="9" s="1"/>
  <c r="E12" i="8"/>
  <c r="I12" i="8"/>
  <c r="D12" i="9" s="1"/>
  <c r="K39" i="1"/>
  <c r="E10" i="8"/>
  <c r="E8" i="7"/>
  <c r="E17" i="8"/>
  <c r="F17" i="9" s="1"/>
  <c r="P92" i="1"/>
  <c r="G7" i="3"/>
  <c r="P14" i="8"/>
  <c r="E15" i="8"/>
  <c r="G11" i="8"/>
  <c r="D14" i="9"/>
  <c r="P43" i="1"/>
  <c r="K43" i="1"/>
  <c r="D12" i="8"/>
  <c r="F12" i="9" s="1"/>
  <c r="M11" i="1"/>
  <c r="N11" i="1" s="1"/>
  <c r="K13" i="1"/>
  <c r="P12" i="8"/>
  <c r="P10" i="8"/>
  <c r="P11" i="8"/>
  <c r="M17" i="8" l="1"/>
  <c r="M12" i="8"/>
  <c r="D9" i="9"/>
  <c r="I9" i="8"/>
  <c r="M9" i="8" s="1"/>
  <c r="K29" i="1"/>
  <c r="H28" i="1"/>
  <c r="F28" i="1"/>
  <c r="K30" i="1"/>
  <c r="K12" i="8"/>
  <c r="K17" i="8"/>
  <c r="L17" i="8" s="1"/>
  <c r="P17" i="8"/>
  <c r="P16" i="8"/>
  <c r="H17" i="9"/>
  <c r="I17" i="9"/>
  <c r="P15" i="8"/>
  <c r="G10" i="8"/>
  <c r="M10" i="8" s="1"/>
  <c r="K11" i="1"/>
  <c r="D13" i="9"/>
  <c r="F10" i="9" l="1"/>
  <c r="N10" i="8"/>
  <c r="M18" i="8"/>
  <c r="M28" i="1"/>
  <c r="N28" i="1" s="1"/>
  <c r="I18" i="8"/>
  <c r="H11" i="8"/>
  <c r="F11" i="8"/>
  <c r="K28" i="1"/>
  <c r="H12" i="9"/>
  <c r="I12" i="9"/>
  <c r="K10" i="8"/>
  <c r="D18" i="9"/>
  <c r="M11" i="8" l="1"/>
  <c r="F11" i="9"/>
  <c r="P28" i="1"/>
  <c r="P39" i="1"/>
  <c r="K10" i="1"/>
  <c r="L43" i="1" s="1"/>
  <c r="K9" i="8"/>
  <c r="K11" i="8"/>
  <c r="F9" i="9"/>
  <c r="H10" i="9"/>
  <c r="I10" i="9"/>
  <c r="L11" i="1" l="1"/>
  <c r="L28" i="1"/>
  <c r="L39" i="1"/>
  <c r="I11" i="9"/>
  <c r="H11" i="9"/>
  <c r="H9" i="9"/>
  <c r="I9" i="9"/>
  <c r="L12" i="8"/>
  <c r="L11" i="8"/>
  <c r="L10" i="8"/>
  <c r="N12" i="8" l="1"/>
  <c r="N11" i="8"/>
  <c r="F50" i="4"/>
  <c r="E50" i="4"/>
  <c r="F62" i="5" l="1"/>
  <c r="E62" i="5"/>
  <c r="F52" i="4"/>
  <c r="E52" i="4"/>
  <c r="F53" i="4"/>
  <c r="E53" i="4"/>
  <c r="E49" i="4" l="1"/>
  <c r="E22" i="4" s="1"/>
  <c r="F82" i="1"/>
  <c r="F9" i="1" s="1"/>
  <c r="F49" i="4"/>
  <c r="F22" i="4" s="1"/>
  <c r="F65" i="5"/>
  <c r="E65" i="5"/>
  <c r="E64" i="5"/>
  <c r="F64" i="5"/>
  <c r="E82" i="1"/>
  <c r="E69" i="7"/>
  <c r="F69" i="7"/>
  <c r="G69" i="7"/>
  <c r="E16" i="8" l="1"/>
  <c r="F16" i="8"/>
  <c r="F18" i="8" s="1"/>
  <c r="H16" i="8"/>
  <c r="E18" i="8"/>
  <c r="E9" i="1"/>
  <c r="K86" i="1"/>
  <c r="D83" i="1" l="1"/>
  <c r="M83" i="1" s="1"/>
  <c r="D86" i="1"/>
  <c r="M86" i="1" s="1"/>
  <c r="D82" i="1" l="1"/>
  <c r="G59" i="3" l="1"/>
  <c r="D16" i="8"/>
  <c r="G6" i="3" l="1"/>
  <c r="G30" i="3"/>
  <c r="D9" i="1"/>
  <c r="I37" i="5" l="1"/>
  <c r="I33" i="5" s="1"/>
  <c r="I32" i="5" s="1"/>
  <c r="F41" i="5" l="1"/>
  <c r="F38" i="5" s="1"/>
  <c r="E41" i="5"/>
  <c r="E35" i="5" s="1"/>
  <c r="E38" i="5" l="1"/>
  <c r="H53" i="1"/>
  <c r="M53" i="1" s="1"/>
  <c r="N53" i="1" s="1"/>
  <c r="K56" i="1"/>
  <c r="F35" i="5"/>
  <c r="H15" i="8" l="1"/>
  <c r="K53" i="1"/>
  <c r="H47" i="1"/>
  <c r="M47" i="1" s="1"/>
  <c r="N47" i="1" s="1"/>
  <c r="K49" i="1"/>
  <c r="F15" i="9" l="1"/>
  <c r="M15" i="8"/>
  <c r="K15" i="8"/>
  <c r="H14" i="8"/>
  <c r="M14" i="8" s="1"/>
  <c r="K47" i="1"/>
  <c r="I15" i="9"/>
  <c r="H15" i="9"/>
  <c r="F14" i="9" l="1"/>
  <c r="K14" i="8"/>
  <c r="H9" i="1"/>
  <c r="H18" i="8" l="1"/>
  <c r="H14" i="9"/>
  <c r="I14" i="9"/>
  <c r="G66" i="7" l="1"/>
  <c r="E66" i="7"/>
  <c r="F66" i="7"/>
  <c r="K83" i="1" l="1"/>
  <c r="G82" i="1"/>
  <c r="M82" i="1" s="1"/>
  <c r="N82" i="1" s="1"/>
  <c r="E67" i="7"/>
  <c r="G67" i="7"/>
  <c r="F67" i="7"/>
  <c r="F68" i="7"/>
  <c r="K85" i="1"/>
  <c r="G68" i="7"/>
  <c r="E68" i="7"/>
  <c r="F65" i="7" l="1"/>
  <c r="F34" i="7" s="1"/>
  <c r="F7" i="7" s="1"/>
  <c r="G65" i="7"/>
  <c r="G34" i="7" s="1"/>
  <c r="G7" i="7" s="1"/>
  <c r="E65" i="7"/>
  <c r="E34" i="7" s="1"/>
  <c r="E7" i="7" s="1"/>
  <c r="K82" i="1" l="1"/>
  <c r="G16" i="8"/>
  <c r="M16" i="8" s="1"/>
  <c r="K16" i="8" l="1"/>
  <c r="F16" i="9"/>
  <c r="I16" i="9" s="1"/>
  <c r="G9" i="1"/>
  <c r="K46" i="1"/>
  <c r="L82" i="1" s="1"/>
  <c r="F13" i="9" l="1"/>
  <c r="H16" i="9"/>
  <c r="G18" i="8"/>
  <c r="K13" i="8"/>
  <c r="L16" i="8" s="1"/>
  <c r="P94" i="1"/>
  <c r="P53" i="1"/>
  <c r="P47" i="1"/>
  <c r="P96" i="1"/>
  <c r="P82" i="1"/>
  <c r="L96" i="1"/>
  <c r="L47" i="1"/>
  <c r="K9" i="1"/>
  <c r="L53" i="1"/>
  <c r="L94" i="1"/>
  <c r="N17" i="8" l="1"/>
  <c r="N15" i="8"/>
  <c r="N14" i="8"/>
  <c r="I13" i="9"/>
  <c r="F18" i="9"/>
  <c r="H13" i="9"/>
  <c r="H18" i="9" s="1"/>
  <c r="L15" i="8"/>
  <c r="L14" i="8"/>
  <c r="K18" i="8"/>
  <c r="N16" i="8"/>
  <c r="I18" i="9" l="1"/>
  <c r="G7" i="6" l="1"/>
  <c r="G16" i="6"/>
  <c r="G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Silva</author>
  </authors>
  <commentList>
    <comment ref="C12" authorId="0" shapeId="0" xr:uid="{43AB0E1D-9193-E446-89D8-89AAE62DC06D}">
      <text>
        <r>
          <rPr>
            <b/>
            <sz val="10"/>
            <color rgb="FF000000"/>
            <rFont val="Tahoma"/>
            <family val="2"/>
          </rPr>
          <t>Bruno Silva: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fraldas+prod enf</t>
        </r>
      </text>
    </comment>
  </commentList>
</comments>
</file>

<file path=xl/sharedStrings.xml><?xml version="1.0" encoding="utf-8"?>
<sst xmlns="http://schemas.openxmlformats.org/spreadsheetml/2006/main" count="624" uniqueCount="247">
  <si>
    <t xml:space="preserve">             Assistencia Social Adventista</t>
  </si>
  <si>
    <t xml:space="preserve">         Porque a desigualdade existe</t>
  </si>
  <si>
    <t>CRIANÇAS</t>
  </si>
  <si>
    <t>TERCEIRA IDADE</t>
  </si>
  <si>
    <t>Consolidado LAPI</t>
  </si>
  <si>
    <t>Consolidado Geral</t>
  </si>
  <si>
    <t>Receitas</t>
  </si>
  <si>
    <t>Operacionais</t>
  </si>
  <si>
    <t>Subsídios à Exploração</t>
  </si>
  <si>
    <t>Outras</t>
  </si>
  <si>
    <t>Despesas</t>
  </si>
  <si>
    <t>Matérias Primas</t>
  </si>
  <si>
    <t>FSE</t>
  </si>
  <si>
    <t>Pessoal</t>
  </si>
  <si>
    <t>Diversos</t>
  </si>
  <si>
    <t>Resultados</t>
  </si>
  <si>
    <t>Sede</t>
  </si>
  <si>
    <t>LapiNorte</t>
  </si>
  <si>
    <t>LapiCentro</t>
  </si>
  <si>
    <t>LapiSul</t>
  </si>
  <si>
    <t>LapiMadeira</t>
  </si>
  <si>
    <t>ArcoIris</t>
  </si>
  <si>
    <t>Quotas</t>
  </si>
  <si>
    <t>Mens.Base</t>
  </si>
  <si>
    <t>Pré-escolar</t>
  </si>
  <si>
    <t>Creche</t>
  </si>
  <si>
    <t>SAD-Apoio Domiciliário</t>
  </si>
  <si>
    <t>CD-Centro de Dia</t>
  </si>
  <si>
    <t>Matriculas e Seguros</t>
  </si>
  <si>
    <t>Despesas Administrativas</t>
  </si>
  <si>
    <t>Desconto FASIA</t>
  </si>
  <si>
    <t>Desconto SS</t>
  </si>
  <si>
    <t>Refeições</t>
  </si>
  <si>
    <t>Deslocações</t>
  </si>
  <si>
    <t>PUU</t>
  </si>
  <si>
    <t>ISS - Lar</t>
  </si>
  <si>
    <t>ISS - SAD</t>
  </si>
  <si>
    <t>ISS - CD</t>
  </si>
  <si>
    <t>ISS - Jardim Infantil</t>
  </si>
  <si>
    <t>ISS - Creche</t>
  </si>
  <si>
    <t>ISS - Educadoras</t>
  </si>
  <si>
    <t>ISS - Cantina Social</t>
  </si>
  <si>
    <t>Projetos IEFP</t>
  </si>
  <si>
    <t>Reversões</t>
  </si>
  <si>
    <t>Clientes</t>
  </si>
  <si>
    <t>Extraordinárias</t>
  </si>
  <si>
    <t>Donativos</t>
  </si>
  <si>
    <t>Energias</t>
  </si>
  <si>
    <t>Financeiras</t>
  </si>
  <si>
    <t>Juros</t>
  </si>
  <si>
    <t>Descontos PP</t>
  </si>
  <si>
    <t>Alimentos</t>
  </si>
  <si>
    <t>Materia Clinico</t>
  </si>
  <si>
    <t>Limpeza, Higiene e Conforto</t>
  </si>
  <si>
    <t>Fraldas</t>
  </si>
  <si>
    <t>Catering</t>
  </si>
  <si>
    <t>Publicidade e propaganda</t>
  </si>
  <si>
    <t>Vigilância e segurança</t>
  </si>
  <si>
    <t>Honorários</t>
  </si>
  <si>
    <t>Conservação e reparação</t>
  </si>
  <si>
    <t>Serv. bancários</t>
  </si>
  <si>
    <t>Outros</t>
  </si>
  <si>
    <t xml:space="preserve">Ferramentas/ utens. Desg. rápido </t>
  </si>
  <si>
    <t>Livros e doc. técnica</t>
  </si>
  <si>
    <t>Mat. escritório</t>
  </si>
  <si>
    <t xml:space="preserve">Artigos para oferta </t>
  </si>
  <si>
    <t>Electricidade</t>
  </si>
  <si>
    <t>Combustiveis</t>
  </si>
  <si>
    <t>Água</t>
  </si>
  <si>
    <t>Gás</t>
  </si>
  <si>
    <t>Trabalhos especializados</t>
  </si>
  <si>
    <t>Deslocações e estadas</t>
  </si>
  <si>
    <t>Rendas e alugueres</t>
  </si>
  <si>
    <t>Comunicações</t>
  </si>
  <si>
    <t>Seguros</t>
  </si>
  <si>
    <t>Cont. notariado</t>
  </si>
  <si>
    <t>Mat. animação soc. cultural</t>
  </si>
  <si>
    <t>Enc. saude com clientes</t>
  </si>
  <si>
    <t>Jornais e revistas</t>
  </si>
  <si>
    <t>Remunerações</t>
  </si>
  <si>
    <t>Imdemnizações</t>
  </si>
  <si>
    <t>Encargos s/remunerações</t>
  </si>
  <si>
    <t>Seguro acidentes trabalho</t>
  </si>
  <si>
    <t>Acção social</t>
  </si>
  <si>
    <t xml:space="preserve">Formação profissional </t>
  </si>
  <si>
    <t xml:space="preserve">Medicina no trabalho </t>
  </si>
  <si>
    <t>Voluntariado</t>
  </si>
  <si>
    <t>Perdas por Imparidade</t>
  </si>
  <si>
    <t>Depreciações</t>
  </si>
  <si>
    <t>Equip. Básico</t>
  </si>
  <si>
    <t>Diversas</t>
  </si>
  <si>
    <r>
      <t xml:space="preserve">       </t>
    </r>
    <r>
      <rPr>
        <b/>
        <sz val="10"/>
        <color theme="3"/>
        <rFont val="Arial"/>
        <family val="2"/>
      </rPr>
      <t xml:space="preserve"> Lar Adventista para Pessoas Idosas</t>
    </r>
    <r>
      <rPr>
        <b/>
        <sz val="12"/>
        <color theme="4" tint="-0.499984740745262"/>
        <rFont val="SimSun-ExtB"/>
        <family val="3"/>
      </rPr>
      <t/>
    </r>
  </si>
  <si>
    <t xml:space="preserve">     Uma outra ideia da idade</t>
  </si>
  <si>
    <t>ASA SEDE</t>
  </si>
  <si>
    <t>VAR</t>
  </si>
  <si>
    <t>%</t>
  </si>
  <si>
    <t>VAR PROJ. vs ORC</t>
  </si>
  <si>
    <t>Apoio Domiciliário</t>
  </si>
  <si>
    <t>Serviços Secundários</t>
  </si>
  <si>
    <t>Produtos Utilização de Clientes</t>
  </si>
  <si>
    <t>Transportes</t>
  </si>
  <si>
    <t>Serviços de enfermagem</t>
  </si>
  <si>
    <t>Segurança Social</t>
  </si>
  <si>
    <t>Segurança Social - AD</t>
  </si>
  <si>
    <t>Cantina Social</t>
  </si>
  <si>
    <t>Correcções Exerc Anteriores</t>
  </si>
  <si>
    <t xml:space="preserve">Combustiveis </t>
  </si>
  <si>
    <t>Livros e Doc. Técnica</t>
  </si>
  <si>
    <t>Deslocações e Repres.</t>
  </si>
  <si>
    <t>Trabalhos Especializados</t>
  </si>
  <si>
    <t>Honorarios</t>
  </si>
  <si>
    <t>Conservação e Reparação</t>
  </si>
  <si>
    <t>Publicidade e Propaganda</t>
  </si>
  <si>
    <t>Artigos P/ Oferta</t>
  </si>
  <si>
    <t>Outros Subsidios</t>
  </si>
  <si>
    <t>Encargos sobre Remunerações</t>
  </si>
  <si>
    <t>Indemenizações</t>
  </si>
  <si>
    <t>Formação Profissional</t>
  </si>
  <si>
    <t>Acção Social</t>
  </si>
  <si>
    <t>Outros Custos c/ Pessoal</t>
  </si>
  <si>
    <t>Amortizações</t>
  </si>
  <si>
    <t>Extraordinarias</t>
  </si>
  <si>
    <t xml:space="preserve">Impostos </t>
  </si>
  <si>
    <r>
      <t xml:space="preserve">        Lar Adventista para Pessoas Idosas</t>
    </r>
    <r>
      <rPr>
        <b/>
        <sz val="12"/>
        <color theme="4" tint="-0.499984740745262"/>
        <rFont val="SimSun-ExtB"/>
        <family val="3"/>
      </rPr>
      <t/>
    </r>
  </si>
  <si>
    <t>LAPI NORTE</t>
  </si>
  <si>
    <t>Orçamentos</t>
  </si>
  <si>
    <t>Lar - Mensalidades base</t>
  </si>
  <si>
    <t>Produtos Utilização Utentes</t>
  </si>
  <si>
    <t xml:space="preserve">Refeições </t>
  </si>
  <si>
    <t>Despesas administrativas</t>
  </si>
  <si>
    <t>SAD - Apoio Domiciliário</t>
  </si>
  <si>
    <t>ISS -  Cantina Social</t>
  </si>
  <si>
    <t>IEFP programas</t>
  </si>
  <si>
    <t>Donativos em especie</t>
  </si>
  <si>
    <t>Donativos valores</t>
  </si>
  <si>
    <t>Juros obtidos</t>
  </si>
  <si>
    <t>Descontos pp obtidos</t>
  </si>
  <si>
    <t>Limpeza hig. e conforto</t>
  </si>
  <si>
    <t>Encargos s/rmunerações</t>
  </si>
  <si>
    <t>Equip. diverso</t>
  </si>
  <si>
    <t>LAPI CENTRO</t>
  </si>
  <si>
    <t>SAD</t>
  </si>
  <si>
    <t>CD</t>
  </si>
  <si>
    <t>Mensalidades base</t>
  </si>
  <si>
    <t>Centro de Dia</t>
  </si>
  <si>
    <t>Segurança Soc Apoio Dom</t>
  </si>
  <si>
    <t>correcções Exerc Anteriores</t>
  </si>
  <si>
    <t>Descontos pronto pag. Obtidos</t>
  </si>
  <si>
    <t>Material Clinico</t>
  </si>
  <si>
    <t>Limpeza, Hig.e Conforto</t>
  </si>
  <si>
    <t>Vigilãncia e segurança</t>
  </si>
  <si>
    <t>Serv. Bancários</t>
  </si>
  <si>
    <t xml:space="preserve">Ferramentas/Utens desg rápido </t>
  </si>
  <si>
    <t>Mat. Escritório</t>
  </si>
  <si>
    <t>Deslocações e Estadas</t>
  </si>
  <si>
    <t>Rendas e Alugueres</t>
  </si>
  <si>
    <t>Cont. Notariado</t>
  </si>
  <si>
    <t>Mat p/ animação soc cultural</t>
  </si>
  <si>
    <t>Enc. Saude com clientes</t>
  </si>
  <si>
    <t>Encargos s/Remunerações</t>
  </si>
  <si>
    <t>Seguro Acidentes Trabalho</t>
  </si>
  <si>
    <t xml:space="preserve">Formação Profissional </t>
  </si>
  <si>
    <t>Equip. Diverso</t>
  </si>
  <si>
    <t>LAPI SUL</t>
  </si>
  <si>
    <t xml:space="preserve">Lar </t>
  </si>
  <si>
    <t>CS</t>
  </si>
  <si>
    <t>Lar</t>
  </si>
  <si>
    <t xml:space="preserve">IEFP programas </t>
  </si>
  <si>
    <t>Casa empregados</t>
  </si>
  <si>
    <t>LAPI MADEIRA</t>
  </si>
  <si>
    <t>LAR</t>
  </si>
  <si>
    <r>
      <t xml:space="preserve">       </t>
    </r>
    <r>
      <rPr>
        <b/>
        <sz val="10"/>
        <color theme="3"/>
        <rFont val="Arial"/>
        <family val="2"/>
      </rPr>
      <t xml:space="preserve"> Creche e Jardim Infância Arco Iris</t>
    </r>
  </si>
  <si>
    <t>ARCO-IRIS</t>
  </si>
  <si>
    <t>Matriculas e seguros</t>
  </si>
  <si>
    <t>Extracurriculares</t>
  </si>
  <si>
    <t>Segurança Social JI</t>
  </si>
  <si>
    <t>Segurança Social Creche</t>
  </si>
  <si>
    <t>Compensação Educadoras</t>
  </si>
  <si>
    <t>Lanches - Alimentos</t>
  </si>
  <si>
    <t>Almoços - Catering</t>
  </si>
  <si>
    <t>Limpeza Higiene e Conforto</t>
  </si>
  <si>
    <t>Vigilância / Segurança</t>
  </si>
  <si>
    <t>Material Didático /Atividades</t>
  </si>
  <si>
    <t>Serviços Especializados</t>
  </si>
  <si>
    <t>Impostos</t>
  </si>
  <si>
    <t>Medicina do Trabalho</t>
  </si>
  <si>
    <t>6</t>
  </si>
  <si>
    <t>06/2024</t>
  </si>
  <si>
    <t>Desconto mensalidade ERPI</t>
  </si>
  <si>
    <t>ISS - ERPI</t>
  </si>
  <si>
    <t>SU Eletricidade</t>
  </si>
  <si>
    <t>Deslocações e estadas pessoal</t>
  </si>
  <si>
    <t>Deslocações e estadas clientes</t>
  </si>
  <si>
    <t>Encargos sob Remunerações</t>
  </si>
  <si>
    <t>Indemnizações</t>
  </si>
  <si>
    <t xml:space="preserve">medicina no trabalho </t>
  </si>
  <si>
    <t>Outros custos C/Pessoal</t>
  </si>
  <si>
    <t>quotizações</t>
  </si>
  <si>
    <t>Subsídios e Doações</t>
  </si>
  <si>
    <t xml:space="preserve">Operacionais </t>
  </si>
  <si>
    <t>Subsidios à Exploração</t>
  </si>
  <si>
    <t>Matérias primas</t>
  </si>
  <si>
    <t xml:space="preserve">Depreciações </t>
  </si>
  <si>
    <t xml:space="preserve">Prod Utilização Clientes </t>
  </si>
  <si>
    <t>Programas</t>
  </si>
  <si>
    <t>Imparidades</t>
  </si>
  <si>
    <t>Doações</t>
  </si>
  <si>
    <t>Donativos espécie</t>
  </si>
  <si>
    <t>Correcções exerc. anteriores</t>
  </si>
  <si>
    <t>Material clinico</t>
  </si>
  <si>
    <t>Limpeza, hig. e conforto</t>
  </si>
  <si>
    <t>Contencioso e notariado</t>
  </si>
  <si>
    <t>Vestuário e calçado</t>
  </si>
  <si>
    <t>Desconto Mensalidades</t>
  </si>
  <si>
    <t>Desconto Fasia n/orçamentado</t>
  </si>
  <si>
    <t>Segurança Soc  ERPI</t>
  </si>
  <si>
    <t>Segurança Soc Centro Dia</t>
  </si>
  <si>
    <t>SRIC</t>
  </si>
  <si>
    <t>Projeto</t>
  </si>
  <si>
    <t>Recuperação de Dívidas</t>
  </si>
  <si>
    <t>Ganhos em Inventários</t>
  </si>
  <si>
    <t>Vestuário e Calçado</t>
  </si>
  <si>
    <t>Provisoes do Exercicio</t>
  </si>
  <si>
    <t>Correcções Exerc Asnteriores</t>
  </si>
  <si>
    <t>Provisoes</t>
  </si>
  <si>
    <t xml:space="preserve">Desconto Fasia </t>
  </si>
  <si>
    <t>Valor /Mês</t>
  </si>
  <si>
    <t xml:space="preserve">Outros </t>
  </si>
  <si>
    <t>Manutenção Interna /Externa</t>
  </si>
  <si>
    <t>Ferramentas e Utensílios</t>
  </si>
  <si>
    <t xml:space="preserve">Seguros </t>
  </si>
  <si>
    <t>Outros custos com pessoal</t>
  </si>
  <si>
    <t>Efetivo</t>
  </si>
  <si>
    <t>Projeccao 12/2025</t>
  </si>
  <si>
    <t>Consignação de IRS</t>
  </si>
  <si>
    <t>Var orç 25 vs 26</t>
  </si>
  <si>
    <t>ORÇAMENTO</t>
  </si>
  <si>
    <t>Orçamento</t>
  </si>
  <si>
    <t>estava nesta conta nutrição da rede LAPI; custo passa para a Madeira e Sul</t>
  </si>
  <si>
    <t>ORÇAMENTO CONSOLIDADO - ASA 2026</t>
  </si>
  <si>
    <t>não se conseguiu venda de imóvel referente a dação para liquidação de dívida. Estimativa para 1º semestre 2026. Valor de imparidade orçamentado no ano anterior estava incorreto</t>
  </si>
  <si>
    <t>quem estava nesta conta passou a honorário</t>
  </si>
  <si>
    <t>08/2025</t>
  </si>
  <si>
    <t>Limpeza, higiene e conforto</t>
  </si>
  <si>
    <t>aad's caring</t>
  </si>
  <si>
    <t>não está contabilizado na projeção de 12/2025 o 14ºmês e provisão de 2026</t>
  </si>
  <si>
    <t>aumento da percentagem de consignação de IRS em 2025 (0,5 para 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</si>
</sst>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_);[Red]\(#,##0.00\ &quot;€&quot;\)"/>
    <numFmt numFmtId="164" formatCode="#,##0_ ;[Red]\-#,##0\ "/>
    <numFmt numFmtId="165" formatCode="0.0%"/>
    <numFmt numFmtId="166" formatCode="#,##0.00_ ;[Red]\-#,##0.00\ "/>
    <numFmt numFmtId="167" formatCode="#,##0.00\ _€"/>
  </numFmts>
  <fonts count="50">
    <font>
      <sz val="10"/>
      <name val="MS Sans Serif"/>
    </font>
    <font>
      <b/>
      <sz val="10"/>
      <name val="MS Sans Serif"/>
      <family val="2"/>
    </font>
    <font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theme="3"/>
      <name val="Celine Dion Handwriting"/>
    </font>
    <font>
      <b/>
      <sz val="12"/>
      <color theme="3"/>
      <name val="Arial"/>
      <family val="2"/>
    </font>
    <font>
      <b/>
      <sz val="9"/>
      <color theme="3"/>
      <name val="Arial"/>
      <family val="2"/>
    </font>
    <font>
      <b/>
      <sz val="10"/>
      <name val="MS Sans Serif"/>
    </font>
    <font>
      <sz val="9"/>
      <name val="Arial"/>
      <family val="2"/>
    </font>
    <font>
      <sz val="9"/>
      <color theme="1"/>
      <name val="Arial"/>
      <family val="2"/>
    </font>
    <font>
      <sz val="9"/>
      <name val="MS Sans Serif"/>
      <family val="2"/>
    </font>
    <font>
      <b/>
      <sz val="10"/>
      <color theme="3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color theme="4" tint="-0.499984740745262"/>
      <name val="SimSun-ExtB"/>
      <family val="3"/>
    </font>
    <font>
      <b/>
      <sz val="20"/>
      <color theme="3"/>
      <name val="Arial"/>
      <family val="2"/>
    </font>
    <font>
      <b/>
      <sz val="9"/>
      <color theme="3"/>
      <name val="Celine Dion Handwriting"/>
    </font>
    <font>
      <b/>
      <sz val="16"/>
      <color theme="3"/>
      <name val="Arial"/>
      <family val="2"/>
    </font>
    <font>
      <u/>
      <sz val="10"/>
      <color theme="10"/>
      <name val="MS Sans Serif"/>
    </font>
    <font>
      <u/>
      <sz val="10"/>
      <color theme="11"/>
      <name val="MS Sans Serif"/>
    </font>
    <font>
      <sz val="6"/>
      <name val="Arial"/>
      <family val="2"/>
    </font>
    <font>
      <b/>
      <sz val="6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8"/>
      <name val="Helvetica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9"/>
      <name val="MS Sans Serif"/>
    </font>
    <font>
      <b/>
      <sz val="9"/>
      <name val="MS Sans Serif"/>
    </font>
    <font>
      <sz val="9"/>
      <color theme="1"/>
      <name val="MS Sans Serif"/>
      <family val="2"/>
    </font>
    <font>
      <b/>
      <sz val="9"/>
      <color theme="1"/>
      <name val="MS Sans Serif"/>
      <family val="2"/>
    </font>
    <font>
      <b/>
      <sz val="8"/>
      <name val="MS Sans Serif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59999389629810485"/>
      </patternFill>
    </fill>
    <fill>
      <patternFill patternType="gray0625">
        <fgColor theme="1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gray0625">
        <fgColor theme="1"/>
        <bgColor theme="0"/>
      </patternFill>
    </fill>
    <fill>
      <patternFill patternType="solid">
        <fgColor theme="4" tint="0.39997558519241921"/>
        <bgColor theme="0"/>
      </patternFill>
    </fill>
    <fill>
      <patternFill patternType="gray0625">
        <fgColor theme="1"/>
        <bgColor theme="0" tint="-4.9989318521683403E-2"/>
      </patternFill>
    </fill>
    <fill>
      <patternFill patternType="gray0625">
        <fgColor theme="1"/>
        <bgColor theme="4" tint="0.39997558519241921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0" fontId="3" fillId="0" borderId="0" applyFont="0" applyFill="0" applyBorder="0" applyAlignment="0" applyProtection="0"/>
  </cellStyleXfs>
  <cellXfs count="683">
    <xf numFmtId="0" fontId="0" fillId="0" borderId="0" xfId="0"/>
    <xf numFmtId="1" fontId="7" fillId="0" borderId="10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/>
    <xf numFmtId="0" fontId="5" fillId="2" borderId="0" xfId="0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10" fillId="0" borderId="0" xfId="2" applyFont="1" applyFill="1"/>
    <xf numFmtId="0" fontId="12" fillId="0" borderId="0" xfId="0" applyFont="1"/>
    <xf numFmtId="0" fontId="11" fillId="0" borderId="0" xfId="0" applyFont="1"/>
    <xf numFmtId="0" fontId="5" fillId="0" borderId="0" xfId="0" applyFont="1" applyAlignment="1">
      <alignment vertical="center"/>
    </xf>
    <xf numFmtId="0" fontId="7" fillId="0" borderId="0" xfId="1" applyFont="1" applyFill="1"/>
    <xf numFmtId="0" fontId="7" fillId="0" borderId="0" xfId="0" applyFont="1"/>
    <xf numFmtId="0" fontId="9" fillId="0" borderId="0" xfId="0" applyFont="1"/>
    <xf numFmtId="4" fontId="7" fillId="0" borderId="0" xfId="0" applyNumberFormat="1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top"/>
    </xf>
    <xf numFmtId="0" fontId="16" fillId="0" borderId="0" xfId="0" applyFont="1"/>
    <xf numFmtId="0" fontId="10" fillId="3" borderId="0" xfId="2" applyFont="1" applyFill="1" applyBorder="1"/>
    <xf numFmtId="0" fontId="7" fillId="3" borderId="0" xfId="1" applyFont="1" applyFill="1" applyBorder="1"/>
    <xf numFmtId="0" fontId="11" fillId="3" borderId="0" xfId="0" applyFont="1" applyFill="1"/>
    <xf numFmtId="0" fontId="12" fillId="3" borderId="0" xfId="0" applyFont="1" applyFill="1"/>
    <xf numFmtId="0" fontId="7" fillId="3" borderId="0" xfId="0" applyFont="1" applyFill="1"/>
    <xf numFmtId="0" fontId="7" fillId="3" borderId="0" xfId="2" applyFont="1" applyFill="1" applyBorder="1"/>
    <xf numFmtId="0" fontId="17" fillId="0" borderId="0" xfId="0" applyFont="1"/>
    <xf numFmtId="1" fontId="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Continuous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3" fontId="10" fillId="0" borderId="0" xfId="2" applyNumberFormat="1" applyFont="1" applyFill="1"/>
    <xf numFmtId="3" fontId="7" fillId="3" borderId="2" xfId="1" applyNumberFormat="1" applyFont="1" applyFill="1" applyBorder="1" applyAlignment="1">
      <alignment vertical="center"/>
    </xf>
    <xf numFmtId="3" fontId="11" fillId="0" borderId="0" xfId="0" applyNumberFormat="1" applyFont="1"/>
    <xf numFmtId="3" fontId="7" fillId="0" borderId="2" xfId="1" applyNumberFormat="1" applyFont="1" applyFill="1" applyBorder="1" applyAlignment="1">
      <alignment vertical="center"/>
    </xf>
    <xf numFmtId="3" fontId="7" fillId="0" borderId="0" xfId="1" applyNumberFormat="1" applyFont="1" applyFill="1"/>
    <xf numFmtId="3" fontId="7" fillId="0" borderId="0" xfId="0" applyNumberFormat="1" applyFont="1"/>
    <xf numFmtId="3" fontId="7" fillId="0" borderId="4" xfId="1" applyNumberFormat="1" applyFont="1" applyFill="1" applyBorder="1" applyAlignment="1">
      <alignment vertical="center"/>
    </xf>
    <xf numFmtId="0" fontId="10" fillId="3" borderId="3" xfId="2" applyFont="1" applyFill="1" applyBorder="1"/>
    <xf numFmtId="164" fontId="6" fillId="0" borderId="0" xfId="5" applyNumberFormat="1" applyFont="1" applyFill="1" applyBorder="1"/>
    <xf numFmtId="4" fontId="5" fillId="0" borderId="0" xfId="0" applyNumberFormat="1" applyFont="1" applyAlignment="1">
      <alignment horizontal="centerContinuous"/>
    </xf>
    <xf numFmtId="4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1" fontId="21" fillId="0" borderId="1" xfId="0" applyNumberFormat="1" applyFont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4" fontId="21" fillId="2" borderId="6" xfId="3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1" fillId="2" borderId="0" xfId="1" applyFont="1" applyFill="1" applyBorder="1" applyAlignment="1">
      <alignment vertical="center"/>
    </xf>
    <xf numFmtId="4" fontId="21" fillId="2" borderId="2" xfId="1" applyNumberFormat="1" applyFont="1" applyFill="1" applyBorder="1" applyAlignment="1">
      <alignment vertical="center"/>
    </xf>
    <xf numFmtId="0" fontId="22" fillId="2" borderId="0" xfId="2" applyFont="1" applyFill="1" applyBorder="1"/>
    <xf numFmtId="0" fontId="21" fillId="2" borderId="0" xfId="2" applyFont="1" applyFill="1" applyBorder="1"/>
    <xf numFmtId="4" fontId="21" fillId="2" borderId="2" xfId="2" applyNumberFormat="1" applyFont="1" applyFill="1" applyBorder="1"/>
    <xf numFmtId="4" fontId="17" fillId="0" borderId="0" xfId="3" applyNumberFormat="1" applyFont="1" applyBorder="1"/>
    <xf numFmtId="4" fontId="17" fillId="0" borderId="2" xfId="3" applyNumberFormat="1" applyFont="1" applyFill="1" applyBorder="1"/>
    <xf numFmtId="4" fontId="21" fillId="2" borderId="2" xfId="3" applyNumberFormat="1" applyFont="1" applyFill="1" applyBorder="1" applyAlignment="1">
      <alignment vertical="center"/>
    </xf>
    <xf numFmtId="0" fontId="21" fillId="2" borderId="0" xfId="1" applyFont="1" applyFill="1" applyBorder="1"/>
    <xf numFmtId="166" fontId="17" fillId="0" borderId="2" xfId="3" applyNumberFormat="1" applyFont="1" applyBorder="1"/>
    <xf numFmtId="166" fontId="17" fillId="0" borderId="2" xfId="3" applyNumberFormat="1" applyFont="1" applyFill="1" applyBorder="1"/>
    <xf numFmtId="4" fontId="21" fillId="2" borderId="2" xfId="1" applyNumberFormat="1" applyFont="1" applyFill="1" applyBorder="1"/>
    <xf numFmtId="0" fontId="21" fillId="2" borderId="0" xfId="0" applyFont="1" applyFill="1"/>
    <xf numFmtId="164" fontId="6" fillId="0" borderId="0" xfId="5" applyNumberFormat="1" applyFont="1" applyFill="1"/>
    <xf numFmtId="4" fontId="17" fillId="0" borderId="2" xfId="3" applyNumberFormat="1" applyFont="1" applyBorder="1"/>
    <xf numFmtId="164" fontId="17" fillId="0" borderId="0" xfId="5" applyNumberFormat="1" applyFont="1" applyFill="1" applyBorder="1" applyAlignment="1">
      <alignment horizontal="centerContinuous"/>
    </xf>
    <xf numFmtId="164" fontId="6" fillId="0" borderId="0" xfId="0" applyNumberFormat="1" applyFont="1"/>
    <xf numFmtId="0" fontId="5" fillId="0" borderId="0" xfId="0" applyFont="1" applyAlignment="1">
      <alignment horizontal="centerContinuous"/>
    </xf>
    <xf numFmtId="4" fontId="17" fillId="0" borderId="5" xfId="3" applyNumberFormat="1" applyFont="1" applyBorder="1"/>
    <xf numFmtId="4" fontId="17" fillId="0" borderId="3" xfId="3" applyNumberFormat="1" applyFont="1" applyBorder="1"/>
    <xf numFmtId="4" fontId="21" fillId="2" borderId="5" xfId="2" applyNumberFormat="1" applyFont="1" applyFill="1" applyBorder="1"/>
    <xf numFmtId="0" fontId="21" fillId="3" borderId="0" xfId="2" applyFont="1" applyFill="1" applyBorder="1"/>
    <xf numFmtId="0" fontId="22" fillId="3" borderId="0" xfId="2" applyFont="1" applyFill="1" applyBorder="1"/>
    <xf numFmtId="4" fontId="17" fillId="3" borderId="2" xfId="2" applyNumberFormat="1" applyFont="1" applyFill="1" applyBorder="1"/>
    <xf numFmtId="0" fontId="10" fillId="3" borderId="0" xfId="2" applyFont="1" applyFill="1"/>
    <xf numFmtId="9" fontId="21" fillId="0" borderId="1" xfId="4" applyFont="1" applyBorder="1" applyAlignment="1">
      <alignment horizontal="center" vertical="center"/>
    </xf>
    <xf numFmtId="166" fontId="21" fillId="2" borderId="2" xfId="3" applyNumberFormat="1" applyFont="1" applyFill="1" applyBorder="1"/>
    <xf numFmtId="4" fontId="17" fillId="0" borderId="3" xfId="3" applyNumberFormat="1" applyFont="1" applyFill="1" applyBorder="1"/>
    <xf numFmtId="4" fontId="21" fillId="2" borderId="12" xfId="3" applyNumberFormat="1" applyFont="1" applyFill="1" applyBorder="1" applyAlignment="1">
      <alignment vertical="center"/>
    </xf>
    <xf numFmtId="0" fontId="24" fillId="0" borderId="0" xfId="0" applyFont="1" applyAlignment="1">
      <alignment horizontal="left"/>
    </xf>
    <xf numFmtId="1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49" fontId="21" fillId="0" borderId="0" xfId="5" applyNumberFormat="1" applyFont="1" applyFill="1" applyBorder="1" applyAlignment="1">
      <alignment horizontal="centerContinuous" vertical="center"/>
    </xf>
    <xf numFmtId="164" fontId="21" fillId="0" borderId="0" xfId="5" applyNumberFormat="1" applyFont="1" applyFill="1" applyBorder="1" applyAlignment="1">
      <alignment horizontal="centerContinuous" vertical="center" wrapText="1"/>
    </xf>
    <xf numFmtId="4" fontId="21" fillId="0" borderId="0" xfId="0" applyNumberFormat="1" applyFont="1"/>
    <xf numFmtId="164" fontId="17" fillId="0" borderId="0" xfId="5" applyNumberFormat="1" applyFont="1" applyFill="1" applyBorder="1"/>
    <xf numFmtId="4" fontId="21" fillId="0" borderId="0" xfId="0" applyNumberFormat="1" applyFont="1" applyAlignment="1">
      <alignment horizontal="centerContinuous"/>
    </xf>
    <xf numFmtId="164" fontId="17" fillId="0" borderId="0" xfId="0" applyNumberFormat="1" applyFont="1"/>
    <xf numFmtId="0" fontId="17" fillId="0" borderId="0" xfId="0" applyFont="1" applyAlignment="1">
      <alignment vertical="center"/>
    </xf>
    <xf numFmtId="164" fontId="17" fillId="0" borderId="0" xfId="5" applyNumberFormat="1" applyFont="1" applyFill="1"/>
    <xf numFmtId="0" fontId="22" fillId="0" borderId="0" xfId="2" applyFont="1" applyFill="1"/>
    <xf numFmtId="0" fontId="22" fillId="3" borderId="0" xfId="2" applyFont="1" applyFill="1"/>
    <xf numFmtId="0" fontId="21" fillId="0" borderId="0" xfId="1" applyFont="1" applyFill="1"/>
    <xf numFmtId="0" fontId="26" fillId="0" borderId="0" xfId="0" applyFont="1" applyAlignment="1">
      <alignment horizontal="left" vertical="center"/>
    </xf>
    <xf numFmtId="164" fontId="21" fillId="0" borderId="1" xfId="5" applyNumberFormat="1" applyFont="1" applyFill="1" applyBorder="1" applyAlignment="1">
      <alignment horizontal="centerContinuous" vertical="center" wrapText="1"/>
    </xf>
    <xf numFmtId="4" fontId="21" fillId="0" borderId="0" xfId="0" applyNumberFormat="1" applyFont="1" applyAlignment="1">
      <alignment horizontal="centerContinuous" vertical="center"/>
    </xf>
    <xf numFmtId="166" fontId="21" fillId="2" borderId="5" xfId="3" applyNumberFormat="1" applyFont="1" applyFill="1" applyBorder="1"/>
    <xf numFmtId="9" fontId="21" fillId="2" borderId="2" xfId="4" applyFont="1" applyFill="1" applyBorder="1" applyAlignment="1">
      <alignment vertical="center"/>
    </xf>
    <xf numFmtId="166" fontId="21" fillId="2" borderId="5" xfId="1" applyNumberFormat="1" applyFont="1" applyFill="1" applyBorder="1" applyAlignment="1">
      <alignment vertical="center"/>
    </xf>
    <xf numFmtId="166" fontId="17" fillId="0" borderId="5" xfId="3" applyNumberFormat="1" applyFont="1" applyBorder="1"/>
    <xf numFmtId="166" fontId="17" fillId="0" borderId="5" xfId="3" applyNumberFormat="1" applyFont="1" applyFill="1" applyBorder="1"/>
    <xf numFmtId="166" fontId="21" fillId="2" borderId="2" xfId="1" applyNumberFormat="1" applyFont="1" applyFill="1" applyBorder="1" applyAlignment="1">
      <alignment vertical="center"/>
    </xf>
    <xf numFmtId="1" fontId="21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6" fillId="0" borderId="2" xfId="0" applyFont="1" applyBorder="1"/>
    <xf numFmtId="1" fontId="21" fillId="0" borderId="9" xfId="0" applyNumberFormat="1" applyFont="1" applyBorder="1" applyAlignment="1">
      <alignment horizontal="center" vertical="center" wrapText="1"/>
    </xf>
    <xf numFmtId="0" fontId="29" fillId="0" borderId="0" xfId="0" applyFont="1"/>
    <xf numFmtId="1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4" fontId="30" fillId="0" borderId="2" xfId="1" applyNumberFormat="1" applyFont="1" applyFill="1" applyBorder="1" applyAlignment="1">
      <alignment vertical="center"/>
    </xf>
    <xf numFmtId="10" fontId="29" fillId="0" borderId="0" xfId="2" applyNumberFormat="1" applyFont="1" applyFill="1"/>
    <xf numFmtId="10" fontId="29" fillId="0" borderId="0" xfId="1" applyNumberFormat="1" applyFont="1" applyFill="1"/>
    <xf numFmtId="10" fontId="29" fillId="0" borderId="0" xfId="0" applyNumberFormat="1" applyFont="1"/>
    <xf numFmtId="0" fontId="17" fillId="3" borderId="0" xfId="0" applyFont="1" applyFill="1"/>
    <xf numFmtId="166" fontId="21" fillId="2" borderId="5" xfId="3" applyNumberFormat="1" applyFont="1" applyFill="1" applyBorder="1" applyAlignment="1">
      <alignment vertical="center"/>
    </xf>
    <xf numFmtId="165" fontId="29" fillId="0" borderId="0" xfId="2" applyNumberFormat="1" applyFont="1" applyFill="1"/>
    <xf numFmtId="165" fontId="29" fillId="0" borderId="0" xfId="4" applyNumberFormat="1" applyFont="1" applyFill="1"/>
    <xf numFmtId="1" fontId="7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1" fontId="21" fillId="5" borderId="9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164" fontId="21" fillId="0" borderId="6" xfId="5" applyNumberFormat="1" applyFont="1" applyFill="1" applyBorder="1" applyAlignment="1">
      <alignment horizontal="centerContinuous" vertical="center" wrapText="1"/>
    </xf>
    <xf numFmtId="166" fontId="17" fillId="0" borderId="0" xfId="3" applyNumberFormat="1" applyFont="1"/>
    <xf numFmtId="4" fontId="18" fillId="0" borderId="2" xfId="3" applyNumberFormat="1" applyFont="1" applyBorder="1"/>
    <xf numFmtId="4" fontId="17" fillId="0" borderId="2" xfId="30" applyNumberFormat="1" applyFont="1" applyFill="1" applyBorder="1"/>
    <xf numFmtId="4" fontId="17" fillId="0" borderId="2" xfId="0" applyNumberFormat="1" applyFont="1" applyBorder="1"/>
    <xf numFmtId="4" fontId="21" fillId="2" borderId="2" xfId="0" applyNumberFormat="1" applyFont="1" applyFill="1" applyBorder="1" applyAlignment="1">
      <alignment vertical="center"/>
    </xf>
    <xf numFmtId="4" fontId="18" fillId="0" borderId="2" xfId="3" applyNumberFormat="1" applyFont="1" applyFill="1" applyBorder="1"/>
    <xf numFmtId="4" fontId="17" fillId="0" borderId="4" xfId="3" applyNumberFormat="1" applyFont="1" applyFill="1" applyBorder="1"/>
    <xf numFmtId="4" fontId="17" fillId="0" borderId="0" xfId="0" applyNumberFormat="1" applyFont="1"/>
    <xf numFmtId="166" fontId="17" fillId="0" borderId="5" xfId="30" applyNumberFormat="1" applyFont="1" applyBorder="1"/>
    <xf numFmtId="166" fontId="17" fillId="0" borderId="2" xfId="30" applyNumberFormat="1" applyFont="1" applyBorder="1"/>
    <xf numFmtId="49" fontId="34" fillId="0" borderId="8" xfId="5" quotePrefix="1" applyNumberFormat="1" applyFont="1" applyFill="1" applyBorder="1" applyAlignment="1">
      <alignment horizontal="centerContinuous" vertical="center" wrapText="1"/>
    </xf>
    <xf numFmtId="0" fontId="17" fillId="0" borderId="0" xfId="0" applyFont="1" applyAlignment="1">
      <alignment horizontal="right"/>
    </xf>
    <xf numFmtId="4" fontId="17" fillId="2" borderId="2" xfId="2" applyNumberFormat="1" applyFont="1" applyFill="1" applyBorder="1"/>
    <xf numFmtId="4" fontId="17" fillId="0" borderId="2" xfId="2" applyNumberFormat="1" applyFont="1" applyFill="1" applyBorder="1"/>
    <xf numFmtId="3" fontId="12" fillId="0" borderId="0" xfId="0" applyNumberFormat="1" applyFont="1"/>
    <xf numFmtId="10" fontId="30" fillId="0" borderId="0" xfId="2" applyNumberFormat="1" applyFont="1" applyFill="1"/>
    <xf numFmtId="4" fontId="17" fillId="0" borderId="5" xfId="3" applyNumberFormat="1" applyFont="1" applyFill="1" applyBorder="1"/>
    <xf numFmtId="4" fontId="21" fillId="0" borderId="2" xfId="1" applyNumberFormat="1" applyFont="1" applyFill="1" applyBorder="1"/>
    <xf numFmtId="4" fontId="21" fillId="0" borderId="2" xfId="2" applyNumberFormat="1" applyFont="1" applyFill="1" applyBorder="1"/>
    <xf numFmtId="4" fontId="34" fillId="0" borderId="2" xfId="2" applyNumberFormat="1" applyFont="1" applyFill="1" applyBorder="1"/>
    <xf numFmtId="4" fontId="34" fillId="0" borderId="2" xfId="3" applyNumberFormat="1" applyFont="1" applyFill="1" applyBorder="1"/>
    <xf numFmtId="4" fontId="17" fillId="0" borderId="5" xfId="2" applyNumberFormat="1" applyFont="1" applyFill="1" applyBorder="1"/>
    <xf numFmtId="4" fontId="17" fillId="0" borderId="3" xfId="2" applyNumberFormat="1" applyFont="1" applyFill="1" applyBorder="1"/>
    <xf numFmtId="4" fontId="6" fillId="0" borderId="0" xfId="0" applyNumberFormat="1" applyFont="1"/>
    <xf numFmtId="164" fontId="34" fillId="0" borderId="1" xfId="5" applyNumberFormat="1" applyFont="1" applyFill="1" applyBorder="1" applyAlignment="1">
      <alignment horizontal="center" vertical="center" wrapText="1"/>
    </xf>
    <xf numFmtId="0" fontId="17" fillId="0" borderId="14" xfId="0" applyFont="1" applyBorder="1"/>
    <xf numFmtId="0" fontId="21" fillId="0" borderId="15" xfId="0" applyFont="1" applyBorder="1"/>
    <xf numFmtId="0" fontId="17" fillId="0" borderId="15" xfId="0" applyFont="1" applyBorder="1"/>
    <xf numFmtId="1" fontId="21" fillId="6" borderId="16" xfId="0" applyNumberFormat="1" applyFont="1" applyFill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1" fillId="2" borderId="18" xfId="0" applyFont="1" applyFill="1" applyBorder="1" applyAlignment="1">
      <alignment vertical="center"/>
    </xf>
    <xf numFmtId="0" fontId="21" fillId="2" borderId="19" xfId="0" applyFont="1" applyFill="1" applyBorder="1" applyAlignment="1">
      <alignment vertical="center"/>
    </xf>
    <xf numFmtId="0" fontId="21" fillId="2" borderId="20" xfId="0" applyFont="1" applyFill="1" applyBorder="1" applyAlignment="1">
      <alignment vertical="center"/>
    </xf>
    <xf numFmtId="4" fontId="21" fillId="7" borderId="21" xfId="3" applyNumberFormat="1" applyFont="1" applyFill="1" applyBorder="1" applyAlignment="1">
      <alignment vertical="center"/>
    </xf>
    <xf numFmtId="4" fontId="21" fillId="2" borderId="21" xfId="3" applyNumberFormat="1" applyFont="1" applyFill="1" applyBorder="1" applyAlignment="1">
      <alignment vertical="center"/>
    </xf>
    <xf numFmtId="9" fontId="21" fillId="2" borderId="6" xfId="4" applyFont="1" applyFill="1" applyBorder="1" applyAlignment="1">
      <alignment vertical="center"/>
    </xf>
    <xf numFmtId="0" fontId="21" fillId="2" borderId="5" xfId="1" applyFont="1" applyFill="1" applyBorder="1" applyAlignment="1">
      <alignment vertical="center"/>
    </xf>
    <xf numFmtId="0" fontId="21" fillId="2" borderId="3" xfId="1" applyFont="1" applyFill="1" applyBorder="1" applyAlignment="1">
      <alignment vertical="center"/>
    </xf>
    <xf numFmtId="166" fontId="21" fillId="7" borderId="2" xfId="1" applyNumberFormat="1" applyFont="1" applyFill="1" applyBorder="1" applyAlignment="1">
      <alignment vertical="center"/>
    </xf>
    <xf numFmtId="0" fontId="22" fillId="2" borderId="5" xfId="2" applyFont="1" applyFill="1" applyBorder="1"/>
    <xf numFmtId="0" fontId="22" fillId="2" borderId="3" xfId="2" applyFont="1" applyFill="1" applyBorder="1"/>
    <xf numFmtId="4" fontId="21" fillId="7" borderId="2" xfId="2" applyNumberFormat="1" applyFont="1" applyFill="1" applyBorder="1"/>
    <xf numFmtId="0" fontId="17" fillId="0" borderId="5" xfId="0" applyFont="1" applyBorder="1"/>
    <xf numFmtId="0" fontId="17" fillId="0" borderId="3" xfId="0" applyFont="1" applyBorder="1"/>
    <xf numFmtId="4" fontId="17" fillId="6" borderId="2" xfId="30" applyNumberFormat="1" applyFont="1" applyFill="1" applyBorder="1"/>
    <xf numFmtId="0" fontId="17" fillId="4" borderId="3" xfId="0" applyFont="1" applyFill="1" applyBorder="1"/>
    <xf numFmtId="4" fontId="17" fillId="6" borderId="2" xfId="3" applyNumberFormat="1" applyFont="1" applyFill="1" applyBorder="1"/>
    <xf numFmtId="0" fontId="21" fillId="2" borderId="3" xfId="2" applyFont="1" applyFill="1" applyBorder="1"/>
    <xf numFmtId="166" fontId="21" fillId="0" borderId="5" xfId="3" applyNumberFormat="1" applyFont="1" applyFill="1" applyBorder="1"/>
    <xf numFmtId="0" fontId="21" fillId="2" borderId="5" xfId="0" applyFont="1" applyFill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4" fontId="21" fillId="7" borderId="2" xfId="0" applyNumberFormat="1" applyFont="1" applyFill="1" applyBorder="1" applyAlignment="1">
      <alignment vertical="center"/>
    </xf>
    <xf numFmtId="0" fontId="21" fillId="2" borderId="5" xfId="1" applyFont="1" applyFill="1" applyBorder="1"/>
    <xf numFmtId="0" fontId="21" fillId="2" borderId="3" xfId="1" applyFont="1" applyFill="1" applyBorder="1"/>
    <xf numFmtId="4" fontId="17" fillId="6" borderId="2" xfId="0" applyNumberFormat="1" applyFont="1" applyFill="1" applyBorder="1"/>
    <xf numFmtId="166" fontId="17" fillId="4" borderId="5" xfId="30" applyNumberFormat="1" applyFont="1" applyFill="1" applyBorder="1"/>
    <xf numFmtId="166" fontId="17" fillId="4" borderId="2" xfId="30" applyNumberFormat="1" applyFont="1" applyFill="1" applyBorder="1"/>
    <xf numFmtId="0" fontId="21" fillId="2" borderId="5" xfId="0" applyFont="1" applyFill="1" applyBorder="1"/>
    <xf numFmtId="0" fontId="21" fillId="2" borderId="3" xfId="0" applyFont="1" applyFill="1" applyBorder="1"/>
    <xf numFmtId="0" fontId="17" fillId="0" borderId="22" xfId="0" applyFont="1" applyBorder="1"/>
    <xf numFmtId="0" fontId="21" fillId="0" borderId="7" xfId="0" applyFont="1" applyBorder="1"/>
    <xf numFmtId="0" fontId="17" fillId="0" borderId="23" xfId="0" applyFont="1" applyBorder="1"/>
    <xf numFmtId="4" fontId="17" fillId="6" borderId="4" xfId="3" applyNumberFormat="1" applyFont="1" applyFill="1" applyBorder="1"/>
    <xf numFmtId="166" fontId="17" fillId="0" borderId="22" xfId="0" applyNumberFormat="1" applyFont="1" applyBorder="1"/>
    <xf numFmtId="166" fontId="17" fillId="0" borderId="22" xfId="3" applyNumberFormat="1" applyFont="1" applyFill="1" applyBorder="1"/>
    <xf numFmtId="4" fontId="21" fillId="0" borderId="4" xfId="0" applyNumberFormat="1" applyFont="1" applyBorder="1"/>
    <xf numFmtId="17" fontId="21" fillId="0" borderId="1" xfId="0" applyNumberFormat="1" applyFont="1" applyBorder="1" applyAlignment="1">
      <alignment horizontal="center" vertical="center"/>
    </xf>
    <xf numFmtId="4" fontId="18" fillId="8" borderId="2" xfId="3" applyNumberFormat="1" applyFont="1" applyFill="1" applyBorder="1" applyAlignment="1">
      <alignment vertical="center"/>
    </xf>
    <xf numFmtId="4" fontId="18" fillId="9" borderId="2" xfId="3" applyNumberFormat="1" applyFont="1" applyFill="1" applyBorder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4" fontId="34" fillId="8" borderId="2" xfId="3" applyNumberFormat="1" applyFont="1" applyFill="1" applyBorder="1" applyAlignment="1">
      <alignment vertical="center"/>
    </xf>
    <xf numFmtId="0" fontId="17" fillId="9" borderId="0" xfId="0" applyFont="1" applyFill="1"/>
    <xf numFmtId="4" fontId="38" fillId="0" borderId="2" xfId="0" applyNumberFormat="1" applyFont="1" applyBorder="1"/>
    <xf numFmtId="4" fontId="21" fillId="8" borderId="2" xfId="1" applyNumberFormat="1" applyFont="1" applyFill="1" applyBorder="1" applyAlignment="1">
      <alignment vertical="center"/>
    </xf>
    <xf numFmtId="4" fontId="17" fillId="9" borderId="2" xfId="1" applyNumberFormat="1" applyFont="1" applyFill="1" applyBorder="1" applyAlignment="1">
      <alignment vertical="center"/>
    </xf>
    <xf numFmtId="4" fontId="18" fillId="0" borderId="2" xfId="3" applyNumberFormat="1" applyFont="1" applyFill="1" applyBorder="1" applyAlignment="1">
      <alignment vertical="center"/>
    </xf>
    <xf numFmtId="0" fontId="40" fillId="0" borderId="0" xfId="0" applyFont="1"/>
    <xf numFmtId="0" fontId="8" fillId="2" borderId="0" xfId="0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0" fillId="2" borderId="0" xfId="2" applyFont="1" applyFill="1"/>
    <xf numFmtId="0" fontId="7" fillId="2" borderId="0" xfId="1" applyFont="1" applyFill="1"/>
    <xf numFmtId="0" fontId="6" fillId="2" borderId="0" xfId="0" applyFont="1" applyFill="1"/>
    <xf numFmtId="0" fontId="11" fillId="2" borderId="0" xfId="0" applyFont="1" applyFill="1"/>
    <xf numFmtId="4" fontId="21" fillId="0" borderId="0" xfId="1" applyNumberFormat="1" applyFont="1" applyFill="1"/>
    <xf numFmtId="4" fontId="17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10" fillId="2" borderId="0" xfId="2" applyNumberFormat="1" applyFont="1" applyFill="1"/>
    <xf numFmtId="4" fontId="17" fillId="0" borderId="0" xfId="0" applyNumberFormat="1" applyFont="1" applyAlignment="1">
      <alignment vertical="center"/>
    </xf>
    <xf numFmtId="4" fontId="11" fillId="0" borderId="0" xfId="0" applyNumberFormat="1" applyFont="1"/>
    <xf numFmtId="4" fontId="5" fillId="2" borderId="0" xfId="0" applyNumberFormat="1" applyFont="1" applyFill="1" applyAlignment="1">
      <alignment vertical="center"/>
    </xf>
    <xf numFmtId="4" fontId="7" fillId="2" borderId="0" xfId="1" applyNumberFormat="1" applyFont="1" applyFill="1"/>
    <xf numFmtId="4" fontId="21" fillId="2" borderId="2" xfId="3" applyNumberFormat="1" applyFont="1" applyFill="1" applyBorder="1"/>
    <xf numFmtId="4" fontId="7" fillId="0" borderId="0" xfId="1" applyNumberFormat="1" applyFont="1" applyFill="1"/>
    <xf numFmtId="4" fontId="6" fillId="0" borderId="5" xfId="0" applyNumberFormat="1" applyFont="1" applyBorder="1"/>
    <xf numFmtId="4" fontId="41" fillId="2" borderId="0" xfId="2" applyNumberFormat="1" applyFont="1" applyFill="1"/>
    <xf numFmtId="0" fontId="21" fillId="0" borderId="0" xfId="0" applyFont="1" applyAlignment="1">
      <alignment horizontal="center" vertical="center"/>
    </xf>
    <xf numFmtId="10" fontId="17" fillId="2" borderId="0" xfId="0" applyNumberFormat="1" applyFont="1" applyFill="1" applyAlignment="1">
      <alignment vertical="center"/>
    </xf>
    <xf numFmtId="4" fontId="7" fillId="0" borderId="7" xfId="0" applyNumberFormat="1" applyFont="1" applyBorder="1" applyAlignment="1">
      <alignment vertical="center" wrapText="1"/>
    </xf>
    <xf numFmtId="4" fontId="17" fillId="0" borderId="2" xfId="3" applyNumberFormat="1" applyFont="1" applyBorder="1" applyAlignment="1">
      <alignment vertical="center"/>
    </xf>
    <xf numFmtId="4" fontId="17" fillId="2" borderId="2" xfId="3" applyNumberFormat="1" applyFont="1" applyFill="1" applyBorder="1" applyAlignment="1">
      <alignment vertical="center"/>
    </xf>
    <xf numFmtId="4" fontId="17" fillId="0" borderId="4" xfId="3" applyNumberFormat="1" applyFont="1" applyBorder="1" applyAlignment="1">
      <alignment vertical="center"/>
    </xf>
    <xf numFmtId="4" fontId="34" fillId="2" borderId="6" xfId="3" applyNumberFormat="1" applyFont="1" applyFill="1" applyBorder="1" applyAlignment="1">
      <alignment vertical="center"/>
    </xf>
    <xf numFmtId="4" fontId="17" fillId="0" borderId="2" xfId="1" applyNumberFormat="1" applyFont="1" applyFill="1" applyBorder="1" applyAlignment="1">
      <alignment vertical="center"/>
    </xf>
    <xf numFmtId="4" fontId="17" fillId="0" borderId="0" xfId="2" applyNumberFormat="1" applyFont="1" applyFill="1"/>
    <xf numFmtId="0" fontId="21" fillId="5" borderId="1" xfId="0" applyFont="1" applyFill="1" applyBorder="1" applyAlignment="1">
      <alignment horizontal="center" vertical="center"/>
    </xf>
    <xf numFmtId="4" fontId="21" fillId="0" borderId="0" xfId="0" applyNumberFormat="1" applyFont="1" applyAlignment="1">
      <alignment vertical="center"/>
    </xf>
    <xf numFmtId="4" fontId="17" fillId="3" borderId="0" xfId="2" applyNumberFormat="1" applyFont="1" applyFill="1"/>
    <xf numFmtId="4" fontId="21" fillId="2" borderId="3" xfId="1" applyNumberFormat="1" applyFont="1" applyFill="1" applyBorder="1" applyAlignment="1">
      <alignment vertical="center"/>
    </xf>
    <xf numFmtId="4" fontId="17" fillId="2" borderId="3" xfId="1" applyNumberFormat="1" applyFont="1" applyFill="1" applyBorder="1" applyAlignment="1">
      <alignment vertical="center"/>
    </xf>
    <xf numFmtId="4" fontId="21" fillId="0" borderId="2" xfId="0" applyNumberFormat="1" applyFont="1" applyBorder="1" applyAlignment="1">
      <alignment vertical="center"/>
    </xf>
    <xf numFmtId="4" fontId="17" fillId="0" borderId="4" xfId="0" applyNumberFormat="1" applyFont="1" applyBorder="1"/>
    <xf numFmtId="4" fontId="21" fillId="2" borderId="6" xfId="0" applyNumberFormat="1" applyFont="1" applyFill="1" applyBorder="1" applyAlignment="1">
      <alignment vertical="center"/>
    </xf>
    <xf numFmtId="4" fontId="7" fillId="0" borderId="4" xfId="0" applyNumberFormat="1" applyFont="1" applyBorder="1"/>
    <xf numFmtId="4" fontId="34" fillId="8" borderId="6" xfId="3" applyNumberFormat="1" applyFont="1" applyFill="1" applyBorder="1" applyAlignment="1">
      <alignment vertical="center"/>
    </xf>
    <xf numFmtId="4" fontId="18" fillId="9" borderId="4" xfId="3" applyNumberFormat="1" applyFont="1" applyFill="1" applyBorder="1" applyAlignment="1">
      <alignment vertical="center"/>
    </xf>
    <xf numFmtId="4" fontId="21" fillId="8" borderId="6" xfId="1" applyNumberFormat="1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1" fillId="9" borderId="0" xfId="0" applyFont="1" applyFill="1" applyAlignment="1">
      <alignment vertical="center"/>
    </xf>
    <xf numFmtId="0" fontId="17" fillId="4" borderId="0" xfId="0" applyFont="1" applyFill="1"/>
    <xf numFmtId="0" fontId="17" fillId="10" borderId="0" xfId="0" applyFont="1" applyFill="1" applyAlignment="1">
      <alignment horizontal="center" vertical="center"/>
    </xf>
    <xf numFmtId="4" fontId="21" fillId="4" borderId="0" xfId="0" applyNumberFormat="1" applyFont="1" applyFill="1" applyAlignment="1">
      <alignment horizontal="centerContinuous" vertical="center"/>
    </xf>
    <xf numFmtId="1" fontId="17" fillId="10" borderId="0" xfId="0" applyNumberFormat="1" applyFont="1" applyFill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4" fontId="17" fillId="10" borderId="0" xfId="0" applyNumberFormat="1" applyFont="1" applyFill="1" applyAlignment="1">
      <alignment horizontal="center" vertical="center"/>
    </xf>
    <xf numFmtId="0" fontId="17" fillId="10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4" fontId="21" fillId="10" borderId="0" xfId="0" applyNumberFormat="1" applyFont="1" applyFill="1" applyAlignment="1">
      <alignment vertical="center"/>
    </xf>
    <xf numFmtId="164" fontId="33" fillId="10" borderId="0" xfId="5" applyNumberFormat="1" applyFont="1" applyFill="1" applyBorder="1" applyAlignment="1">
      <alignment vertical="center"/>
    </xf>
    <xf numFmtId="164" fontId="17" fillId="10" borderId="0" xfId="5" applyNumberFormat="1" applyFont="1" applyFill="1" applyBorder="1" applyAlignment="1">
      <alignment vertical="center"/>
    </xf>
    <xf numFmtId="0" fontId="42" fillId="10" borderId="0" xfId="0" applyFont="1" applyFill="1" applyAlignment="1">
      <alignment vertical="center"/>
    </xf>
    <xf numFmtId="0" fontId="21" fillId="10" borderId="0" xfId="0" applyFont="1" applyFill="1" applyAlignment="1">
      <alignment horizontal="centerContinuous" vertical="center"/>
    </xf>
    <xf numFmtId="0" fontId="25" fillId="10" borderId="0" xfId="0" applyFont="1" applyFill="1" applyAlignment="1">
      <alignment vertical="center"/>
    </xf>
    <xf numFmtId="4" fontId="21" fillId="10" borderId="0" xfId="0" applyNumberFormat="1" applyFont="1" applyFill="1" applyAlignment="1">
      <alignment horizontal="centerContinuous" vertical="center"/>
    </xf>
    <xf numFmtId="164" fontId="33" fillId="10" borderId="0" xfId="0" applyNumberFormat="1" applyFont="1" applyFill="1" applyAlignment="1">
      <alignment vertical="center"/>
    </xf>
    <xf numFmtId="164" fontId="17" fillId="10" borderId="0" xfId="0" applyNumberFormat="1" applyFont="1" applyFill="1" applyAlignment="1">
      <alignment vertical="center"/>
    </xf>
    <xf numFmtId="0" fontId="31" fillId="10" borderId="0" xfId="0" applyFont="1" applyFill="1" applyAlignment="1">
      <alignment vertical="center"/>
    </xf>
    <xf numFmtId="1" fontId="21" fillId="10" borderId="0" xfId="0" applyNumberFormat="1" applyFont="1" applyFill="1" applyAlignment="1">
      <alignment horizontal="center" vertical="center"/>
    </xf>
    <xf numFmtId="49" fontId="34" fillId="10" borderId="0" xfId="5" applyNumberFormat="1" applyFont="1" applyFill="1" applyBorder="1" applyAlignment="1">
      <alignment horizontal="center" vertical="center"/>
    </xf>
    <xf numFmtId="164" fontId="21" fillId="10" borderId="0" xfId="5" applyNumberFormat="1" applyFont="1" applyFill="1" applyBorder="1" applyAlignment="1">
      <alignment horizontal="centerContinuous" vertical="center" wrapText="1"/>
    </xf>
    <xf numFmtId="17" fontId="21" fillId="10" borderId="1" xfId="0" applyNumberFormat="1" applyFont="1" applyFill="1" applyBorder="1" applyAlignment="1">
      <alignment horizontal="center" vertical="center"/>
    </xf>
    <xf numFmtId="1" fontId="21" fillId="10" borderId="9" xfId="0" applyNumberFormat="1" applyFont="1" applyFill="1" applyBorder="1" applyAlignment="1">
      <alignment horizontal="center" vertical="center"/>
    </xf>
    <xf numFmtId="49" fontId="34" fillId="10" borderId="8" xfId="5" applyNumberFormat="1" applyFont="1" applyFill="1" applyBorder="1" applyAlignment="1">
      <alignment horizontal="centerContinuous" vertical="center"/>
    </xf>
    <xf numFmtId="164" fontId="21" fillId="10" borderId="1" xfId="5" applyNumberFormat="1" applyFont="1" applyFill="1" applyBorder="1" applyAlignment="1">
      <alignment horizontal="centerContinuous" vertical="center" wrapText="1"/>
    </xf>
    <xf numFmtId="0" fontId="21" fillId="10" borderId="1" xfId="0" applyFont="1" applyFill="1" applyBorder="1" applyAlignment="1">
      <alignment horizontal="center" vertical="center"/>
    </xf>
    <xf numFmtId="4" fontId="21" fillId="10" borderId="2" xfId="3" applyNumberFormat="1" applyFont="1" applyFill="1" applyBorder="1" applyAlignment="1">
      <alignment vertical="center"/>
    </xf>
    <xf numFmtId="4" fontId="21" fillId="10" borderId="3" xfId="1" applyNumberFormat="1" applyFont="1" applyFill="1" applyBorder="1" applyAlignment="1">
      <alignment vertical="center"/>
    </xf>
    <xf numFmtId="0" fontId="21" fillId="10" borderId="0" xfId="1" applyFont="1" applyFill="1" applyBorder="1" applyAlignment="1">
      <alignment vertical="center"/>
    </xf>
    <xf numFmtId="0" fontId="21" fillId="10" borderId="0" xfId="1" applyFont="1" applyFill="1" applyAlignment="1">
      <alignment vertical="center"/>
    </xf>
    <xf numFmtId="4" fontId="21" fillId="10" borderId="2" xfId="1" applyNumberFormat="1" applyFont="1" applyFill="1" applyBorder="1" applyAlignment="1">
      <alignment vertical="center"/>
    </xf>
    <xf numFmtId="0" fontId="22" fillId="10" borderId="0" xfId="2" applyFont="1" applyFill="1" applyBorder="1" applyAlignment="1">
      <alignment vertical="center"/>
    </xf>
    <xf numFmtId="0" fontId="21" fillId="10" borderId="0" xfId="2" applyFont="1" applyFill="1" applyBorder="1" applyAlignment="1">
      <alignment vertical="center"/>
    </xf>
    <xf numFmtId="0" fontId="22" fillId="10" borderId="0" xfId="2" applyFont="1" applyFill="1" applyAlignment="1">
      <alignment vertical="center"/>
    </xf>
    <xf numFmtId="4" fontId="17" fillId="10" borderId="2" xfId="2" applyNumberFormat="1" applyFont="1" applyFill="1" applyBorder="1" applyAlignment="1">
      <alignment vertical="center"/>
    </xf>
    <xf numFmtId="4" fontId="17" fillId="10" borderId="2" xfId="3" applyNumberFormat="1" applyFont="1" applyFill="1" applyBorder="1" applyAlignment="1">
      <alignment vertical="center"/>
    </xf>
    <xf numFmtId="4" fontId="17" fillId="10" borderId="3" xfId="3" applyNumberFormat="1" applyFont="1" applyFill="1" applyBorder="1" applyAlignment="1">
      <alignment vertical="center"/>
    </xf>
    <xf numFmtId="166" fontId="17" fillId="10" borderId="0" xfId="0" applyNumberFormat="1" applyFont="1" applyFill="1" applyAlignment="1">
      <alignment vertical="center"/>
    </xf>
    <xf numFmtId="166" fontId="17" fillId="10" borderId="2" xfId="3" applyNumberFormat="1" applyFont="1" applyFill="1" applyBorder="1" applyAlignment="1">
      <alignment vertical="center"/>
    </xf>
    <xf numFmtId="4" fontId="17" fillId="10" borderId="2" xfId="0" applyNumberFormat="1" applyFont="1" applyFill="1" applyBorder="1" applyAlignment="1">
      <alignment vertical="center"/>
    </xf>
    <xf numFmtId="4" fontId="18" fillId="10" borderId="2" xfId="3" applyNumberFormat="1" applyFont="1" applyFill="1" applyBorder="1" applyAlignment="1">
      <alignment vertical="center"/>
    </xf>
    <xf numFmtId="4" fontId="17" fillId="10" borderId="3" xfId="1" applyNumberFormat="1" applyFont="1" applyFill="1" applyBorder="1" applyAlignment="1">
      <alignment vertical="center"/>
    </xf>
    <xf numFmtId="166" fontId="17" fillId="10" borderId="0" xfId="0" applyNumberFormat="1" applyFont="1" applyFill="1" applyAlignment="1">
      <alignment horizontal="right" vertical="center"/>
    </xf>
    <xf numFmtId="4" fontId="17" fillId="10" borderId="2" xfId="3" applyNumberFormat="1" applyFont="1" applyFill="1" applyBorder="1" applyAlignment="1">
      <alignment horizontal="right" vertical="center"/>
    </xf>
    <xf numFmtId="4" fontId="17" fillId="10" borderId="4" xfId="3" applyNumberFormat="1" applyFont="1" applyFill="1" applyBorder="1" applyAlignment="1">
      <alignment vertical="center"/>
    </xf>
    <xf numFmtId="166" fontId="17" fillId="10" borderId="4" xfId="3" applyNumberFormat="1" applyFont="1" applyFill="1" applyBorder="1" applyAlignment="1">
      <alignment vertical="center"/>
    </xf>
    <xf numFmtId="4" fontId="17" fillId="10" borderId="4" xfId="0" applyNumberFormat="1" applyFont="1" applyFill="1" applyBorder="1" applyAlignment="1">
      <alignment vertical="center"/>
    </xf>
    <xf numFmtId="166" fontId="17" fillId="10" borderId="0" xfId="3" applyNumberFormat="1" applyFont="1" applyFill="1" applyAlignment="1">
      <alignment vertical="center"/>
    </xf>
    <xf numFmtId="4" fontId="17" fillId="10" borderId="0" xfId="3" applyNumberFormat="1" applyFont="1" applyFill="1" applyBorder="1" applyAlignment="1">
      <alignment vertical="center"/>
    </xf>
    <xf numFmtId="4" fontId="17" fillId="10" borderId="0" xfId="0" applyNumberFormat="1" applyFont="1" applyFill="1" applyAlignment="1">
      <alignment vertical="center"/>
    </xf>
    <xf numFmtId="164" fontId="33" fillId="10" borderId="0" xfId="5" applyNumberFormat="1" applyFont="1" applyFill="1" applyAlignment="1">
      <alignment vertical="center"/>
    </xf>
    <xf numFmtId="164" fontId="17" fillId="10" borderId="0" xfId="5" applyNumberFormat="1" applyFont="1" applyFill="1" applyAlignment="1">
      <alignment vertical="center"/>
    </xf>
    <xf numFmtId="0" fontId="21" fillId="11" borderId="0" xfId="0" applyFont="1" applyFill="1" applyAlignment="1">
      <alignment vertical="center"/>
    </xf>
    <xf numFmtId="4" fontId="21" fillId="11" borderId="2" xfId="3" applyNumberFormat="1" applyFont="1" applyFill="1" applyBorder="1" applyAlignment="1">
      <alignment vertical="center"/>
    </xf>
    <xf numFmtId="4" fontId="21" fillId="11" borderId="3" xfId="1" applyNumberFormat="1" applyFont="1" applyFill="1" applyBorder="1" applyAlignment="1">
      <alignment vertical="center"/>
    </xf>
    <xf numFmtId="0" fontId="17" fillId="11" borderId="0" xfId="0" applyFont="1" applyFill="1" applyAlignment="1">
      <alignment vertical="center"/>
    </xf>
    <xf numFmtId="166" fontId="21" fillId="11" borderId="0" xfId="3" applyNumberFormat="1" applyFont="1" applyFill="1" applyBorder="1" applyAlignment="1">
      <alignment vertical="center"/>
    </xf>
    <xf numFmtId="166" fontId="21" fillId="11" borderId="6" xfId="3" applyNumberFormat="1" applyFont="1" applyFill="1" applyBorder="1" applyAlignment="1">
      <alignment vertical="center"/>
    </xf>
    <xf numFmtId="4" fontId="21" fillId="11" borderId="6" xfId="0" applyNumberFormat="1" applyFont="1" applyFill="1" applyBorder="1" applyAlignment="1">
      <alignment vertical="center"/>
    </xf>
    <xf numFmtId="0" fontId="21" fillId="8" borderId="0" xfId="0" applyFont="1" applyFill="1" applyAlignment="1">
      <alignment vertical="center"/>
    </xf>
    <xf numFmtId="0" fontId="21" fillId="11" borderId="0" xfId="1" applyFont="1" applyFill="1" applyBorder="1" applyAlignment="1">
      <alignment vertical="center"/>
    </xf>
    <xf numFmtId="166" fontId="21" fillId="11" borderId="2" xfId="3" applyNumberFormat="1" applyFont="1" applyFill="1" applyBorder="1" applyAlignment="1">
      <alignment vertical="center"/>
    </xf>
    <xf numFmtId="0" fontId="21" fillId="11" borderId="0" xfId="1" applyFont="1" applyFill="1" applyAlignment="1">
      <alignment vertical="center"/>
    </xf>
    <xf numFmtId="4" fontId="21" fillId="11" borderId="2" xfId="1" applyNumberFormat="1" applyFont="1" applyFill="1" applyBorder="1" applyAlignment="1">
      <alignment vertical="center"/>
    </xf>
    <xf numFmtId="8" fontId="21" fillId="11" borderId="0" xfId="1" applyNumberFormat="1" applyFont="1" applyFill="1" applyAlignment="1">
      <alignment vertical="center"/>
    </xf>
    <xf numFmtId="0" fontId="21" fillId="8" borderId="0" xfId="1" applyFont="1" applyFill="1" applyAlignment="1">
      <alignment vertical="center"/>
    </xf>
    <xf numFmtId="0" fontId="22" fillId="11" borderId="0" xfId="2" applyFont="1" applyFill="1" applyBorder="1" applyAlignment="1">
      <alignment vertical="center"/>
    </xf>
    <xf numFmtId="0" fontId="21" fillId="11" borderId="0" xfId="2" applyFont="1" applyFill="1" applyBorder="1" applyAlignment="1">
      <alignment vertical="center"/>
    </xf>
    <xf numFmtId="4" fontId="39" fillId="11" borderId="2" xfId="2" applyNumberFormat="1" applyFont="1" applyFill="1" applyBorder="1" applyAlignment="1">
      <alignment vertical="center"/>
    </xf>
    <xf numFmtId="4" fontId="21" fillId="11" borderId="2" xfId="2" applyNumberFormat="1" applyFont="1" applyFill="1" applyBorder="1" applyAlignment="1">
      <alignment vertical="center"/>
    </xf>
    <xf numFmtId="4" fontId="21" fillId="11" borderId="5" xfId="2" applyNumberFormat="1" applyFont="1" applyFill="1" applyBorder="1" applyAlignment="1">
      <alignment vertical="center"/>
    </xf>
    <xf numFmtId="0" fontId="22" fillId="11" borderId="0" xfId="2" applyFont="1" applyFill="1" applyAlignment="1">
      <alignment vertical="center"/>
    </xf>
    <xf numFmtId="4" fontId="17" fillId="11" borderId="2" xfId="2" applyNumberFormat="1" applyFont="1" applyFill="1" applyBorder="1" applyAlignment="1">
      <alignment vertical="center"/>
    </xf>
    <xf numFmtId="0" fontId="22" fillId="8" borderId="0" xfId="2" applyFont="1" applyFill="1"/>
    <xf numFmtId="166" fontId="21" fillId="11" borderId="0" xfId="0" applyNumberFormat="1" applyFont="1" applyFill="1" applyAlignment="1">
      <alignment vertical="center"/>
    </xf>
    <xf numFmtId="4" fontId="21" fillId="11" borderId="2" xfId="0" applyNumberFormat="1" applyFont="1" applyFill="1" applyBorder="1" applyAlignment="1">
      <alignment vertical="center"/>
    </xf>
    <xf numFmtId="0" fontId="17" fillId="8" borderId="0" xfId="0" applyFont="1" applyFill="1"/>
    <xf numFmtId="0" fontId="43" fillId="11" borderId="0" xfId="0" applyFont="1" applyFill="1" applyAlignment="1">
      <alignment vertical="center"/>
    </xf>
    <xf numFmtId="4" fontId="17" fillId="11" borderId="3" xfId="3" applyNumberFormat="1" applyFont="1" applyFill="1" applyBorder="1" applyAlignment="1">
      <alignment vertical="center"/>
    </xf>
    <xf numFmtId="4" fontId="21" fillId="11" borderId="2" xfId="3" applyNumberFormat="1" applyFont="1" applyFill="1" applyBorder="1" applyAlignment="1">
      <alignment horizontal="right" vertical="center"/>
    </xf>
    <xf numFmtId="4" fontId="21" fillId="11" borderId="5" xfId="0" applyNumberFormat="1" applyFont="1" applyFill="1" applyBorder="1" applyAlignment="1">
      <alignment vertical="center"/>
    </xf>
    <xf numFmtId="166" fontId="21" fillId="11" borderId="5" xfId="0" applyNumberFormat="1" applyFont="1" applyFill="1" applyBorder="1" applyAlignment="1">
      <alignment vertical="center"/>
    </xf>
    <xf numFmtId="1" fontId="21" fillId="12" borderId="1" xfId="0" applyNumberFormat="1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24" fillId="10" borderId="0" xfId="0" applyFont="1" applyFill="1" applyAlignment="1">
      <alignment horizontal="left" vertical="center"/>
    </xf>
    <xf numFmtId="4" fontId="4" fillId="0" borderId="0" xfId="0" applyNumberFormat="1" applyFont="1"/>
    <xf numFmtId="0" fontId="4" fillId="0" borderId="0" xfId="0" applyFont="1"/>
    <xf numFmtId="4" fontId="18" fillId="4" borderId="5" xfId="3" applyNumberFormat="1" applyFont="1" applyFill="1" applyBorder="1"/>
    <xf numFmtId="4" fontId="18" fillId="4" borderId="2" xfId="3" applyNumberFormat="1" applyFont="1" applyFill="1" applyBorder="1"/>
    <xf numFmtId="4" fontId="18" fillId="4" borderId="5" xfId="2" applyNumberFormat="1" applyFont="1" applyFill="1" applyBorder="1"/>
    <xf numFmtId="4" fontId="18" fillId="4" borderId="2" xfId="2" applyNumberFormat="1" applyFont="1" applyFill="1" applyBorder="1"/>
    <xf numFmtId="4" fontId="18" fillId="4" borderId="0" xfId="3" applyNumberFormat="1" applyFont="1" applyFill="1" applyBorder="1"/>
    <xf numFmtId="4" fontId="18" fillId="4" borderId="3" xfId="3" applyNumberFormat="1" applyFont="1" applyFill="1" applyBorder="1"/>
    <xf numFmtId="4" fontId="15" fillId="0" borderId="0" xfId="0" applyNumberFormat="1" applyFont="1" applyAlignment="1">
      <alignment horizontal="center"/>
    </xf>
    <xf numFmtId="4" fontId="44" fillId="4" borderId="0" xfId="0" applyNumberFormat="1" applyFont="1" applyFill="1"/>
    <xf numFmtId="4" fontId="18" fillId="4" borderId="0" xfId="2" applyNumberFormat="1" applyFont="1" applyFill="1" applyBorder="1"/>
    <xf numFmtId="4" fontId="18" fillId="4" borderId="2" xfId="0" applyNumberFormat="1" applyFont="1" applyFill="1" applyBorder="1"/>
    <xf numFmtId="4" fontId="18" fillId="4" borderId="2" xfId="0" applyNumberFormat="1" applyFont="1" applyFill="1" applyBorder="1" applyAlignment="1">
      <alignment vertical="center"/>
    </xf>
    <xf numFmtId="4" fontId="18" fillId="4" borderId="2" xfId="1" applyNumberFormat="1" applyFont="1" applyFill="1" applyBorder="1"/>
    <xf numFmtId="4" fontId="18" fillId="4" borderId="4" xfId="3" applyNumberFormat="1" applyFont="1" applyFill="1" applyBorder="1"/>
    <xf numFmtId="0" fontId="42" fillId="0" borderId="0" xfId="0" applyFont="1"/>
    <xf numFmtId="10" fontId="21" fillId="10" borderId="0" xfId="0" applyNumberFormat="1" applyFont="1" applyFill="1" applyAlignment="1">
      <alignment horizontal="center" vertical="center"/>
    </xf>
    <xf numFmtId="10" fontId="17" fillId="10" borderId="0" xfId="0" applyNumberFormat="1" applyFont="1" applyFill="1" applyAlignment="1">
      <alignment horizontal="center" vertical="center"/>
    </xf>
    <xf numFmtId="9" fontId="21" fillId="0" borderId="8" xfId="4" applyFont="1" applyBorder="1" applyAlignment="1">
      <alignment horizontal="center" vertical="center"/>
    </xf>
    <xf numFmtId="4" fontId="18" fillId="4" borderId="2" xfId="3" applyNumberFormat="1" applyFont="1" applyFill="1" applyBorder="1" applyAlignment="1">
      <alignment horizontal="right"/>
    </xf>
    <xf numFmtId="4" fontId="17" fillId="0" borderId="2" xfId="1" applyNumberFormat="1" applyFont="1" applyFill="1" applyBorder="1"/>
    <xf numFmtId="0" fontId="17" fillId="0" borderId="4" xfId="0" applyFont="1" applyBorder="1"/>
    <xf numFmtId="4" fontId="21" fillId="0" borderId="7" xfId="0" applyNumberFormat="1" applyFont="1" applyBorder="1" applyAlignment="1">
      <alignment vertical="center"/>
    </xf>
    <xf numFmtId="0" fontId="6" fillId="9" borderId="0" xfId="0" applyFont="1" applyFill="1"/>
    <xf numFmtId="0" fontId="5" fillId="9" borderId="0" xfId="0" applyFont="1" applyFill="1"/>
    <xf numFmtId="0" fontId="8" fillId="9" borderId="0" xfId="0" applyFont="1" applyFill="1"/>
    <xf numFmtId="1" fontId="21" fillId="12" borderId="9" xfId="0" applyNumberFormat="1" applyFont="1" applyFill="1" applyBorder="1" applyAlignment="1">
      <alignment horizontal="center" vertical="center"/>
    </xf>
    <xf numFmtId="4" fontId="34" fillId="10" borderId="3" xfId="1" applyNumberFormat="1" applyFont="1" applyFill="1" applyBorder="1" applyAlignment="1">
      <alignment vertical="center"/>
    </xf>
    <xf numFmtId="4" fontId="34" fillId="10" borderId="2" xfId="1" applyNumberFormat="1" applyFont="1" applyFill="1" applyBorder="1" applyAlignment="1">
      <alignment vertical="center"/>
    </xf>
    <xf numFmtId="4" fontId="18" fillId="10" borderId="2" xfId="3" applyNumberFormat="1" applyFont="1" applyFill="1" applyBorder="1"/>
    <xf numFmtId="4" fontId="18" fillId="10" borderId="2" xfId="2" applyNumberFormat="1" applyFont="1" applyFill="1" applyBorder="1"/>
    <xf numFmtId="4" fontId="34" fillId="10" borderId="2" xfId="3" applyNumberFormat="1" applyFont="1" applyFill="1" applyBorder="1" applyAlignment="1">
      <alignment vertical="center"/>
    </xf>
    <xf numFmtId="4" fontId="18" fillId="10" borderId="3" xfId="3" applyNumberFormat="1" applyFont="1" applyFill="1" applyBorder="1" applyAlignment="1">
      <alignment vertical="center"/>
    </xf>
    <xf numFmtId="4" fontId="18" fillId="10" borderId="4" xfId="3" applyNumberFormat="1" applyFont="1" applyFill="1" applyBorder="1" applyAlignment="1">
      <alignment vertical="center"/>
    </xf>
    <xf numFmtId="164" fontId="17" fillId="9" borderId="0" xfId="5" applyNumberFormat="1" applyFont="1" applyFill="1" applyBorder="1"/>
    <xf numFmtId="164" fontId="17" fillId="9" borderId="0" xfId="0" applyNumberFormat="1" applyFont="1" applyFill="1"/>
    <xf numFmtId="164" fontId="21" fillId="9" borderId="0" xfId="5" applyNumberFormat="1" applyFont="1" applyFill="1" applyBorder="1" applyAlignment="1">
      <alignment horizontal="centerContinuous" vertical="center" wrapText="1"/>
    </xf>
    <xf numFmtId="164" fontId="21" fillId="9" borderId="6" xfId="5" applyNumberFormat="1" applyFont="1" applyFill="1" applyBorder="1" applyAlignment="1">
      <alignment horizontal="centerContinuous" vertical="center" wrapText="1"/>
    </xf>
    <xf numFmtId="4" fontId="17" fillId="9" borderId="2" xfId="3" applyNumberFormat="1" applyFont="1" applyFill="1" applyBorder="1" applyAlignment="1">
      <alignment vertical="center"/>
    </xf>
    <xf numFmtId="164" fontId="17" fillId="9" borderId="4" xfId="5" applyNumberFormat="1" applyFont="1" applyFill="1" applyBorder="1"/>
    <xf numFmtId="164" fontId="17" fillId="9" borderId="0" xfId="5" applyNumberFormat="1" applyFont="1" applyFill="1"/>
    <xf numFmtId="4" fontId="34" fillId="11" borderId="2" xfId="3" applyNumberFormat="1" applyFont="1" applyFill="1" applyBorder="1" applyAlignment="1">
      <alignment vertical="center"/>
    </xf>
    <xf numFmtId="10" fontId="34" fillId="11" borderId="6" xfId="4" applyNumberFormat="1" applyFont="1" applyFill="1" applyBorder="1" applyAlignment="1">
      <alignment horizontal="center" vertical="center"/>
    </xf>
    <xf numFmtId="4" fontId="34" fillId="11" borderId="6" xfId="3" applyNumberFormat="1" applyFont="1" applyFill="1" applyBorder="1" applyAlignment="1">
      <alignment vertical="center"/>
    </xf>
    <xf numFmtId="4" fontId="34" fillId="11" borderId="13" xfId="4" applyNumberFormat="1" applyFont="1" applyFill="1" applyBorder="1" applyAlignment="1">
      <alignment horizontal="center" vertical="center"/>
    </xf>
    <xf numFmtId="4" fontId="34" fillId="11" borderId="12" xfId="4" applyNumberFormat="1" applyFont="1" applyFill="1" applyBorder="1" applyAlignment="1">
      <alignment horizontal="center" vertical="center"/>
    </xf>
    <xf numFmtId="0" fontId="17" fillId="8" borderId="0" xfId="0" applyFont="1" applyFill="1" applyAlignment="1">
      <alignment vertical="center"/>
    </xf>
    <xf numFmtId="4" fontId="21" fillId="8" borderId="6" xfId="3" applyNumberFormat="1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4" fontId="21" fillId="8" borderId="2" xfId="0" applyNumberFormat="1" applyFont="1" applyFill="1" applyBorder="1" applyAlignment="1">
      <alignment vertical="center"/>
    </xf>
    <xf numFmtId="9" fontId="34" fillId="11" borderId="6" xfId="4" applyFont="1" applyFill="1" applyBorder="1" applyAlignment="1">
      <alignment horizontal="center" vertical="center"/>
    </xf>
    <xf numFmtId="10" fontId="21" fillId="11" borderId="0" xfId="0" applyNumberFormat="1" applyFont="1" applyFill="1" applyAlignment="1">
      <alignment horizontal="center" vertical="center"/>
    </xf>
    <xf numFmtId="0" fontId="21" fillId="8" borderId="0" xfId="1" applyFont="1" applyFill="1" applyBorder="1" applyAlignment="1">
      <alignment vertical="center"/>
    </xf>
    <xf numFmtId="4" fontId="34" fillId="11" borderId="2" xfId="1" applyNumberFormat="1" applyFont="1" applyFill="1" applyBorder="1" applyAlignment="1">
      <alignment vertical="center"/>
    </xf>
    <xf numFmtId="4" fontId="34" fillId="11" borderId="0" xfId="1" applyNumberFormat="1" applyFont="1" applyFill="1" applyBorder="1" applyAlignment="1">
      <alignment vertical="center"/>
    </xf>
    <xf numFmtId="4" fontId="34" fillId="11" borderId="5" xfId="1" applyNumberFormat="1" applyFont="1" applyFill="1" applyBorder="1" applyAlignment="1">
      <alignment vertical="center"/>
    </xf>
    <xf numFmtId="4" fontId="21" fillId="8" borderId="2" xfId="3" applyNumberFormat="1" applyFont="1" applyFill="1" applyBorder="1" applyAlignment="1">
      <alignment vertical="center"/>
    </xf>
    <xf numFmtId="0" fontId="5" fillId="8" borderId="0" xfId="1" applyFont="1" applyFill="1" applyAlignment="1">
      <alignment vertical="center"/>
    </xf>
    <xf numFmtId="0" fontId="22" fillId="8" borderId="0" xfId="2" applyFont="1" applyFill="1" applyBorder="1"/>
    <xf numFmtId="0" fontId="21" fillId="8" borderId="0" xfId="2" applyFont="1" applyFill="1" applyBorder="1"/>
    <xf numFmtId="4" fontId="34" fillId="11" borderId="2" xfId="3" applyNumberFormat="1" applyFont="1" applyFill="1" applyBorder="1"/>
    <xf numFmtId="4" fontId="34" fillId="11" borderId="2" xfId="2" applyNumberFormat="1" applyFont="1" applyFill="1" applyBorder="1"/>
    <xf numFmtId="4" fontId="34" fillId="11" borderId="0" xfId="2" applyNumberFormat="1" applyFont="1" applyFill="1" applyBorder="1"/>
    <xf numFmtId="4" fontId="34" fillId="11" borderId="5" xfId="2" applyNumberFormat="1" applyFont="1" applyFill="1" applyBorder="1"/>
    <xf numFmtId="0" fontId="10" fillId="8" borderId="0" xfId="2" applyFont="1" applyFill="1"/>
    <xf numFmtId="4" fontId="21" fillId="8" borderId="2" xfId="2" applyNumberFormat="1" applyFont="1" applyFill="1" applyBorder="1"/>
    <xf numFmtId="0" fontId="21" fillId="8" borderId="0" xfId="0" applyFont="1" applyFill="1"/>
    <xf numFmtId="0" fontId="11" fillId="8" borderId="0" xfId="0" applyFont="1" applyFill="1"/>
    <xf numFmtId="4" fontId="21" fillId="8" borderId="2" xfId="0" applyNumberFormat="1" applyFont="1" applyFill="1" applyBorder="1"/>
    <xf numFmtId="4" fontId="34" fillId="11" borderId="3" xfId="3" applyNumberFormat="1" applyFont="1" applyFill="1" applyBorder="1" applyAlignment="1">
      <alignment vertical="center"/>
    </xf>
    <xf numFmtId="4" fontId="34" fillId="11" borderId="0" xfId="3" applyNumberFormat="1" applyFont="1" applyFill="1" applyBorder="1" applyAlignment="1">
      <alignment vertical="center"/>
    </xf>
    <xf numFmtId="0" fontId="7" fillId="8" borderId="0" xfId="1" applyFont="1" applyFill="1"/>
    <xf numFmtId="4" fontId="21" fillId="8" borderId="2" xfId="1" applyNumberFormat="1" applyFont="1" applyFill="1" applyBorder="1"/>
    <xf numFmtId="0" fontId="21" fillId="8" borderId="0" xfId="1" applyFont="1" applyFill="1" applyBorder="1"/>
    <xf numFmtId="4" fontId="34" fillId="11" borderId="3" xfId="2" applyNumberFormat="1" applyFont="1" applyFill="1" applyBorder="1"/>
    <xf numFmtId="4" fontId="34" fillId="11" borderId="2" xfId="0" applyNumberFormat="1" applyFont="1" applyFill="1" applyBorder="1"/>
    <xf numFmtId="4" fontId="34" fillId="11" borderId="2" xfId="1" applyNumberFormat="1" applyFont="1" applyFill="1" applyBorder="1"/>
    <xf numFmtId="4" fontId="34" fillId="11" borderId="0" xfId="1" applyNumberFormat="1" applyFont="1" applyFill="1" applyBorder="1"/>
    <xf numFmtId="4" fontId="34" fillId="11" borderId="5" xfId="1" applyNumberFormat="1" applyFont="1" applyFill="1" applyBorder="1"/>
    <xf numFmtId="4" fontId="34" fillId="11" borderId="3" xfId="3" applyNumberFormat="1" applyFont="1" applyFill="1" applyBorder="1"/>
    <xf numFmtId="4" fontId="45" fillId="11" borderId="0" xfId="0" applyNumberFormat="1" applyFont="1" applyFill="1"/>
    <xf numFmtId="4" fontId="46" fillId="8" borderId="0" xfId="0" applyNumberFormat="1" applyFont="1" applyFill="1"/>
    <xf numFmtId="0" fontId="46" fillId="8" borderId="0" xfId="0" applyFont="1" applyFill="1"/>
    <xf numFmtId="4" fontId="43" fillId="8" borderId="2" xfId="0" applyNumberFormat="1" applyFont="1" applyFill="1" applyBorder="1"/>
    <xf numFmtId="0" fontId="4" fillId="8" borderId="0" xfId="0" applyFont="1" applyFill="1"/>
    <xf numFmtId="4" fontId="7" fillId="0" borderId="7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6" fillId="0" borderId="0" xfId="1" applyFont="1" applyFill="1"/>
    <xf numFmtId="0" fontId="21" fillId="9" borderId="0" xfId="0" applyFont="1" applyFill="1"/>
    <xf numFmtId="9" fontId="21" fillId="9" borderId="12" xfId="4" applyFont="1" applyFill="1" applyBorder="1" applyAlignment="1">
      <alignment horizontal="center" vertical="center"/>
    </xf>
    <xf numFmtId="9" fontId="21" fillId="9" borderId="6" xfId="4" applyFont="1" applyFill="1" applyBorder="1" applyAlignment="1">
      <alignment horizontal="center" vertical="center"/>
    </xf>
    <xf numFmtId="0" fontId="17" fillId="9" borderId="0" xfId="0" applyFont="1" applyFill="1" applyAlignment="1">
      <alignment vertical="center"/>
    </xf>
    <xf numFmtId="4" fontId="17" fillId="0" borderId="0" xfId="3" applyNumberFormat="1" applyFont="1" applyFill="1" applyBorder="1"/>
    <xf numFmtId="4" fontId="17" fillId="0" borderId="2" xfId="0" applyNumberFormat="1" applyFont="1" applyBorder="1" applyAlignment="1">
      <alignment vertical="center"/>
    </xf>
    <xf numFmtId="4" fontId="18" fillId="0" borderId="2" xfId="0" applyNumberFormat="1" applyFont="1" applyBorder="1"/>
    <xf numFmtId="4" fontId="17" fillId="9" borderId="4" xfId="3" applyNumberFormat="1" applyFont="1" applyFill="1" applyBorder="1" applyAlignment="1">
      <alignment vertical="center"/>
    </xf>
    <xf numFmtId="4" fontId="21" fillId="8" borderId="6" xfId="2" applyNumberFormat="1" applyFont="1" applyFill="1" applyBorder="1"/>
    <xf numFmtId="4" fontId="5" fillId="8" borderId="0" xfId="1" applyNumberFormat="1" applyFont="1" applyFill="1" applyAlignment="1">
      <alignment vertical="center"/>
    </xf>
    <xf numFmtId="4" fontId="21" fillId="8" borderId="5" xfId="2" applyNumberFormat="1" applyFont="1" applyFill="1" applyBorder="1"/>
    <xf numFmtId="4" fontId="10" fillId="8" borderId="0" xfId="2" applyNumberFormat="1" applyFont="1" applyFill="1"/>
    <xf numFmtId="4" fontId="11" fillId="0" borderId="2" xfId="4" applyNumberFormat="1" applyFont="1" applyBorder="1"/>
    <xf numFmtId="10" fontId="21" fillId="11" borderId="2" xfId="3" applyNumberFormat="1" applyFont="1" applyFill="1" applyBorder="1" applyAlignment="1">
      <alignment horizontal="center" vertical="center"/>
    </xf>
    <xf numFmtId="10" fontId="21" fillId="9" borderId="12" xfId="4" applyNumberFormat="1" applyFont="1" applyFill="1" applyBorder="1" applyAlignment="1">
      <alignment horizontal="center" vertical="center"/>
    </xf>
    <xf numFmtId="4" fontId="17" fillId="8" borderId="2" xfId="2" applyNumberFormat="1" applyFont="1" applyFill="1" applyBorder="1"/>
    <xf numFmtId="4" fontId="21" fillId="8" borderId="6" xfId="0" applyNumberFormat="1" applyFont="1" applyFill="1" applyBorder="1" applyAlignment="1">
      <alignment vertical="center"/>
    </xf>
    <xf numFmtId="4" fontId="6" fillId="0" borderId="22" xfId="0" applyNumberFormat="1" applyFont="1" applyBorder="1"/>
    <xf numFmtId="4" fontId="7" fillId="0" borderId="7" xfId="0" applyNumberFormat="1" applyFont="1" applyBorder="1"/>
    <xf numFmtId="0" fontId="17" fillId="13" borderId="0" xfId="0" applyFont="1" applyFill="1"/>
    <xf numFmtId="0" fontId="21" fillId="13" borderId="0" xfId="0" applyFont="1" applyFill="1"/>
    <xf numFmtId="4" fontId="17" fillId="8" borderId="5" xfId="3" applyNumberFormat="1" applyFont="1" applyFill="1" applyBorder="1"/>
    <xf numFmtId="4" fontId="17" fillId="8" borderId="2" xfId="3" applyNumberFormat="1" applyFont="1" applyFill="1" applyBorder="1"/>
    <xf numFmtId="4" fontId="17" fillId="8" borderId="3" xfId="3" applyNumberFormat="1" applyFont="1" applyFill="1" applyBorder="1"/>
    <xf numFmtId="0" fontId="21" fillId="8" borderId="0" xfId="2" applyFont="1" applyFill="1"/>
    <xf numFmtId="4" fontId="17" fillId="8" borderId="3" xfId="2" applyNumberFormat="1" applyFont="1" applyFill="1" applyBorder="1"/>
    <xf numFmtId="4" fontId="17" fillId="8" borderId="2" xfId="0" applyNumberFormat="1" applyFont="1" applyFill="1" applyBorder="1"/>
    <xf numFmtId="0" fontId="5" fillId="8" borderId="0" xfId="0" applyFont="1" applyFill="1" applyAlignment="1">
      <alignment vertical="center"/>
    </xf>
    <xf numFmtId="0" fontId="41" fillId="8" borderId="0" xfId="2" applyFont="1" applyFill="1"/>
    <xf numFmtId="4" fontId="21" fillId="8" borderId="5" xfId="1" applyNumberFormat="1" applyFont="1" applyFill="1" applyBorder="1"/>
    <xf numFmtId="9" fontId="21" fillId="8" borderId="0" xfId="4" applyFont="1" applyFill="1" applyBorder="1" applyAlignment="1">
      <alignment vertical="center"/>
    </xf>
    <xf numFmtId="9" fontId="7" fillId="8" borderId="0" xfId="4" applyFont="1" applyFill="1"/>
    <xf numFmtId="4" fontId="21" fillId="8" borderId="2" xfId="3" applyNumberFormat="1" applyFont="1" applyFill="1" applyBorder="1"/>
    <xf numFmtId="4" fontId="21" fillId="8" borderId="5" xfId="3" applyNumberFormat="1" applyFont="1" applyFill="1" applyBorder="1"/>
    <xf numFmtId="4" fontId="21" fillId="8" borderId="3" xfId="3" applyNumberFormat="1" applyFont="1" applyFill="1" applyBorder="1"/>
    <xf numFmtId="0" fontId="12" fillId="8" borderId="0" xfId="0" applyFont="1" applyFill="1"/>
    <xf numFmtId="4" fontId="21" fillId="8" borderId="0" xfId="0" applyNumberFormat="1" applyFont="1" applyFill="1" applyAlignment="1">
      <alignment vertical="center"/>
    </xf>
    <xf numFmtId="10" fontId="21" fillId="9" borderId="11" xfId="4" applyNumberFormat="1" applyFont="1" applyFill="1" applyBorder="1" applyAlignment="1">
      <alignment horizontal="center" vertical="center"/>
    </xf>
    <xf numFmtId="10" fontId="21" fillId="11" borderId="6" xfId="3" applyNumberFormat="1" applyFont="1" applyFill="1" applyBorder="1" applyAlignment="1">
      <alignment horizontal="center" vertical="center"/>
    </xf>
    <xf numFmtId="10" fontId="21" fillId="2" borderId="0" xfId="0" applyNumberFormat="1" applyFont="1" applyFill="1" applyAlignment="1">
      <alignment vertical="center"/>
    </xf>
    <xf numFmtId="10" fontId="21" fillId="2" borderId="0" xfId="2" applyNumberFormat="1" applyFont="1" applyFill="1"/>
    <xf numFmtId="10" fontId="11" fillId="0" borderId="0" xfId="0" applyNumberFormat="1" applyFont="1"/>
    <xf numFmtId="10" fontId="17" fillId="0" borderId="2" xfId="3" applyNumberFormat="1" applyFont="1" applyFill="1" applyBorder="1" applyAlignment="1">
      <alignment horizontal="center" vertical="center"/>
    </xf>
    <xf numFmtId="10" fontId="21" fillId="0" borderId="2" xfId="3" applyNumberFormat="1" applyFont="1" applyFill="1" applyBorder="1" applyAlignment="1">
      <alignment horizontal="center" vertical="center"/>
    </xf>
    <xf numFmtId="4" fontId="18" fillId="10" borderId="0" xfId="0" applyNumberFormat="1" applyFont="1" applyFill="1" applyAlignment="1">
      <alignment vertical="center"/>
    </xf>
    <xf numFmtId="4" fontId="18" fillId="10" borderId="2" xfId="0" applyNumberFormat="1" applyFont="1" applyFill="1" applyBorder="1" applyAlignment="1">
      <alignment vertical="center"/>
    </xf>
    <xf numFmtId="4" fontId="18" fillId="11" borderId="3" xfId="3" applyNumberFormat="1" applyFont="1" applyFill="1" applyBorder="1" applyAlignment="1">
      <alignment vertical="center"/>
    </xf>
    <xf numFmtId="4" fontId="18" fillId="11" borderId="0" xfId="0" applyNumberFormat="1" applyFont="1" applyFill="1" applyAlignment="1">
      <alignment vertical="center"/>
    </xf>
    <xf numFmtId="4" fontId="34" fillId="11" borderId="0" xfId="0" applyNumberFormat="1" applyFont="1" applyFill="1" applyAlignment="1">
      <alignment vertical="center"/>
    </xf>
    <xf numFmtId="4" fontId="34" fillId="11" borderId="2" xfId="0" applyNumberFormat="1" applyFont="1" applyFill="1" applyBorder="1" applyAlignment="1">
      <alignment vertical="center"/>
    </xf>
    <xf numFmtId="4" fontId="34" fillId="10" borderId="0" xfId="1" applyNumberFormat="1" applyFont="1" applyFill="1" applyAlignment="1">
      <alignment vertical="center"/>
    </xf>
    <xf numFmtId="4" fontId="34" fillId="11" borderId="3" xfId="1" applyNumberFormat="1" applyFont="1" applyFill="1" applyBorder="1" applyAlignment="1">
      <alignment vertical="center"/>
    </xf>
    <xf numFmtId="10" fontId="21" fillId="0" borderId="4" xfId="3" applyNumberFormat="1" applyFont="1" applyFill="1" applyBorder="1" applyAlignment="1">
      <alignment horizontal="center" vertical="center"/>
    </xf>
    <xf numFmtId="4" fontId="18" fillId="0" borderId="0" xfId="3" applyNumberFormat="1" applyFont="1" applyBorder="1"/>
    <xf numFmtId="4" fontId="18" fillId="0" borderId="3" xfId="3" applyNumberFormat="1" applyFont="1" applyBorder="1"/>
    <xf numFmtId="4" fontId="18" fillId="0" borderId="5" xfId="3" applyNumberFormat="1" applyFont="1" applyBorder="1"/>
    <xf numFmtId="4" fontId="18" fillId="3" borderId="0" xfId="2" applyNumberFormat="1" applyFont="1" applyFill="1" applyBorder="1"/>
    <xf numFmtId="4" fontId="18" fillId="3" borderId="2" xfId="2" applyNumberFormat="1" applyFont="1" applyFill="1" applyBorder="1"/>
    <xf numFmtId="4" fontId="18" fillId="2" borderId="2" xfId="2" applyNumberFormat="1" applyFont="1" applyFill="1" applyBorder="1"/>
    <xf numFmtId="4" fontId="34" fillId="0" borderId="2" xfId="3" applyNumberFormat="1" applyFont="1" applyBorder="1"/>
    <xf numFmtId="4" fontId="18" fillId="0" borderId="0" xfId="0" applyNumberFormat="1" applyFont="1"/>
    <xf numFmtId="4" fontId="18" fillId="0" borderId="3" xfId="3" applyNumberFormat="1" applyFont="1" applyFill="1" applyBorder="1"/>
    <xf numFmtId="4" fontId="18" fillId="0" borderId="0" xfId="0" applyNumberFormat="1" applyFont="1" applyAlignment="1">
      <alignment vertical="center"/>
    </xf>
    <xf numFmtId="4" fontId="18" fillId="0" borderId="2" xfId="3" applyNumberFormat="1" applyFont="1" applyFill="1" applyBorder="1" applyAlignment="1">
      <alignment horizontal="right" vertical="center"/>
    </xf>
    <xf numFmtId="4" fontId="34" fillId="0" borderId="2" xfId="0" applyNumberFormat="1" applyFont="1" applyBorder="1"/>
    <xf numFmtId="4" fontId="34" fillId="0" borderId="2" xfId="3" applyNumberFormat="1" applyFont="1" applyFill="1" applyBorder="1" applyAlignment="1">
      <alignment vertical="center"/>
    </xf>
    <xf numFmtId="0" fontId="22" fillId="0" borderId="0" xfId="2" applyFont="1" applyFill="1" applyBorder="1"/>
    <xf numFmtId="4" fontId="34" fillId="0" borderId="0" xfId="2" applyNumberFormat="1" applyFont="1" applyFill="1" applyBorder="1"/>
    <xf numFmtId="4" fontId="34" fillId="0" borderId="2" xfId="1" applyNumberFormat="1" applyFont="1" applyFill="1" applyBorder="1" applyAlignment="1">
      <alignment vertical="center"/>
    </xf>
    <xf numFmtId="4" fontId="34" fillId="0" borderId="3" xfId="3" applyNumberFormat="1" applyFont="1" applyFill="1" applyBorder="1" applyAlignment="1">
      <alignment vertical="center"/>
    </xf>
    <xf numFmtId="4" fontId="18" fillId="0" borderId="0" xfId="3" applyNumberFormat="1" applyFont="1" applyFill="1" applyBorder="1"/>
    <xf numFmtId="4" fontId="18" fillId="0" borderId="2" xfId="1" applyNumberFormat="1" applyFont="1" applyFill="1" applyBorder="1" applyAlignment="1">
      <alignment vertical="center"/>
    </xf>
    <xf numFmtId="0" fontId="21" fillId="0" borderId="0" xfId="1" applyFont="1" applyFill="1" applyBorder="1"/>
    <xf numFmtId="4" fontId="18" fillId="0" borderId="2" xfId="2" applyNumberFormat="1" applyFont="1" applyFill="1" applyBorder="1"/>
    <xf numFmtId="4" fontId="18" fillId="0" borderId="3" xfId="2" applyNumberFormat="1" applyFont="1" applyFill="1" applyBorder="1"/>
    <xf numFmtId="0" fontId="17" fillId="0" borderId="0" xfId="1" applyFont="1" applyFill="1" applyBorder="1"/>
    <xf numFmtId="4" fontId="18" fillId="0" borderId="0" xfId="1" applyNumberFormat="1" applyFont="1" applyFill="1" applyBorder="1"/>
    <xf numFmtId="4" fontId="18" fillId="0" borderId="5" xfId="1" applyNumberFormat="1" applyFont="1" applyFill="1" applyBorder="1"/>
    <xf numFmtId="4" fontId="18" fillId="0" borderId="0" xfId="2" applyNumberFormat="1" applyFont="1" applyFill="1" applyBorder="1"/>
    <xf numFmtId="4" fontId="18" fillId="0" borderId="5" xfId="2" applyNumberFormat="1" applyFont="1" applyFill="1" applyBorder="1"/>
    <xf numFmtId="4" fontId="18" fillId="0" borderId="4" xfId="3" applyNumberFormat="1" applyFont="1" applyFill="1" applyBorder="1" applyAlignment="1">
      <alignment vertical="center"/>
    </xf>
    <xf numFmtId="4" fontId="34" fillId="8" borderId="13" xfId="4" applyNumberFormat="1" applyFont="1" applyFill="1" applyBorder="1" applyAlignment="1">
      <alignment horizontal="center" vertical="center"/>
    </xf>
    <xf numFmtId="4" fontId="34" fillId="8" borderId="6" xfId="4" applyNumberFormat="1" applyFont="1" applyFill="1" applyBorder="1" applyAlignment="1">
      <alignment horizontal="center" vertical="center"/>
    </xf>
    <xf numFmtId="4" fontId="34" fillId="8" borderId="0" xfId="3" applyNumberFormat="1" applyFont="1" applyFill="1" applyBorder="1" applyAlignment="1">
      <alignment vertical="center"/>
    </xf>
    <xf numFmtId="4" fontId="34" fillId="8" borderId="2" xfId="1" applyNumberFormat="1" applyFont="1" applyFill="1" applyBorder="1" applyAlignment="1">
      <alignment vertical="center"/>
    </xf>
    <xf numFmtId="4" fontId="18" fillId="8" borderId="0" xfId="0" applyNumberFormat="1" applyFont="1" applyFill="1" applyAlignment="1">
      <alignment vertical="center"/>
    </xf>
    <xf numFmtId="4" fontId="34" fillId="8" borderId="0" xfId="1" applyNumberFormat="1" applyFont="1" applyFill="1" applyBorder="1" applyAlignment="1">
      <alignment vertical="center"/>
    </xf>
    <xf numFmtId="4" fontId="21" fillId="8" borderId="0" xfId="1" applyNumberFormat="1" applyFont="1" applyFill="1" applyAlignment="1">
      <alignment vertical="center"/>
    </xf>
    <xf numFmtId="4" fontId="34" fillId="8" borderId="3" xfId="2" applyNumberFormat="1" applyFont="1" applyFill="1" applyBorder="1"/>
    <xf numFmtId="4" fontId="34" fillId="8" borderId="2" xfId="2" applyNumberFormat="1" applyFont="1" applyFill="1" applyBorder="1"/>
    <xf numFmtId="4" fontId="34" fillId="8" borderId="0" xfId="3" applyNumberFormat="1" applyFont="1" applyFill="1" applyBorder="1"/>
    <xf numFmtId="4" fontId="21" fillId="8" borderId="0" xfId="2" applyNumberFormat="1" applyFont="1" applyFill="1"/>
    <xf numFmtId="4" fontId="17" fillId="8" borderId="0" xfId="2" applyNumberFormat="1" applyFont="1" applyFill="1"/>
    <xf numFmtId="4" fontId="34" fillId="8" borderId="2" xfId="3" applyNumberFormat="1" applyFont="1" applyFill="1" applyBorder="1"/>
    <xf numFmtId="4" fontId="34" fillId="8" borderId="0" xfId="2" applyNumberFormat="1" applyFont="1" applyFill="1" applyBorder="1"/>
    <xf numFmtId="4" fontId="21" fillId="8" borderId="0" xfId="0" applyNumberFormat="1" applyFont="1" applyFill="1"/>
    <xf numFmtId="4" fontId="17" fillId="8" borderId="0" xfId="0" applyNumberFormat="1" applyFont="1" applyFill="1"/>
    <xf numFmtId="4" fontId="34" fillId="8" borderId="5" xfId="2" applyNumberFormat="1" applyFont="1" applyFill="1" applyBorder="1"/>
    <xf numFmtId="4" fontId="18" fillId="8" borderId="3" xfId="3" applyNumberFormat="1" applyFont="1" applyFill="1" applyBorder="1"/>
    <xf numFmtId="4" fontId="34" fillId="8" borderId="2" xfId="30" applyNumberFormat="1" applyFont="1" applyFill="1" applyBorder="1"/>
    <xf numFmtId="4" fontId="18" fillId="8" borderId="0" xfId="3" applyNumberFormat="1" applyFont="1" applyFill="1" applyBorder="1"/>
    <xf numFmtId="4" fontId="18" fillId="8" borderId="2" xfId="3" applyNumberFormat="1" applyFont="1" applyFill="1" applyBorder="1"/>
    <xf numFmtId="4" fontId="34" fillId="8" borderId="2" xfId="0" applyNumberFormat="1" applyFont="1" applyFill="1" applyBorder="1"/>
    <xf numFmtId="4" fontId="18" fillId="8" borderId="2" xfId="0" applyNumberFormat="1" applyFont="1" applyFill="1" applyBorder="1"/>
    <xf numFmtId="0" fontId="9" fillId="8" borderId="0" xfId="0" applyFont="1" applyFill="1"/>
    <xf numFmtId="0" fontId="6" fillId="8" borderId="0" xfId="0" applyFont="1" applyFill="1"/>
    <xf numFmtId="4" fontId="34" fillId="8" borderId="0" xfId="0" applyNumberFormat="1" applyFont="1" applyFill="1"/>
    <xf numFmtId="4" fontId="21" fillId="8" borderId="0" xfId="0" applyNumberFormat="1" applyFont="1" applyFill="1" applyAlignment="1">
      <alignment horizontal="center" vertical="center"/>
    </xf>
    <xf numFmtId="4" fontId="18" fillId="0" borderId="5" xfId="3" applyNumberFormat="1" applyFont="1" applyFill="1" applyBorder="1"/>
    <xf numFmtId="4" fontId="18" fillId="3" borderId="5" xfId="2" applyNumberFormat="1" applyFont="1" applyFill="1" applyBorder="1"/>
    <xf numFmtId="4" fontId="34" fillId="0" borderId="5" xfId="3" applyNumberFormat="1" applyFont="1" applyFill="1" applyBorder="1" applyAlignment="1">
      <alignment vertical="center"/>
    </xf>
    <xf numFmtId="4" fontId="34" fillId="0" borderId="5" xfId="2" applyNumberFormat="1" applyFont="1" applyFill="1" applyBorder="1"/>
    <xf numFmtId="4" fontId="34" fillId="0" borderId="3" xfId="2" applyNumberFormat="1" applyFont="1" applyFill="1" applyBorder="1"/>
    <xf numFmtId="4" fontId="18" fillId="0" borderId="4" xfId="3" applyNumberFormat="1" applyFont="1" applyFill="1" applyBorder="1"/>
    <xf numFmtId="4" fontId="34" fillId="0" borderId="0" xfId="3" applyNumberFormat="1" applyFont="1" applyFill="1" applyBorder="1" applyAlignment="1">
      <alignment vertical="center"/>
    </xf>
    <xf numFmtId="4" fontId="34" fillId="8" borderId="2" xfId="3" applyNumberFormat="1" applyFont="1" applyFill="1" applyBorder="1" applyAlignment="1">
      <alignment horizontal="right" vertical="center"/>
    </xf>
    <xf numFmtId="4" fontId="34" fillId="8" borderId="12" xfId="4" applyNumberFormat="1" applyFont="1" applyFill="1" applyBorder="1" applyAlignment="1">
      <alignment horizontal="center" vertical="center"/>
    </xf>
    <xf numFmtId="4" fontId="34" fillId="8" borderId="5" xfId="1" applyNumberFormat="1" applyFont="1" applyFill="1" applyBorder="1" applyAlignment="1">
      <alignment vertical="center"/>
    </xf>
    <xf numFmtId="4" fontId="18" fillId="8" borderId="5" xfId="3" applyNumberFormat="1" applyFont="1" applyFill="1" applyBorder="1"/>
    <xf numFmtId="4" fontId="34" fillId="8" borderId="6" xfId="1" applyNumberFormat="1" applyFont="1" applyFill="1" applyBorder="1" applyAlignment="1">
      <alignment vertical="center"/>
    </xf>
    <xf numFmtId="4" fontId="18" fillId="0" borderId="4" xfId="0" applyNumberFormat="1" applyFont="1" applyBorder="1"/>
    <xf numFmtId="4" fontId="34" fillId="8" borderId="6" xfId="3" applyNumberFormat="1" applyFont="1" applyFill="1" applyBorder="1" applyAlignment="1">
      <alignment horizontal="center" vertical="center"/>
    </xf>
    <xf numFmtId="10" fontId="17" fillId="8" borderId="0" xfId="0" applyNumberFormat="1" applyFont="1" applyFill="1" applyAlignment="1">
      <alignment vertical="center"/>
    </xf>
    <xf numFmtId="10" fontId="17" fillId="0" borderId="0" xfId="0" applyNumberFormat="1" applyFont="1" applyAlignment="1">
      <alignment vertical="center"/>
    </xf>
    <xf numFmtId="10" fontId="21" fillId="9" borderId="1" xfId="4" applyNumberFormat="1" applyFont="1" applyFill="1" applyBorder="1" applyAlignment="1">
      <alignment horizontal="center" vertical="center"/>
    </xf>
    <xf numFmtId="4" fontId="11" fillId="0" borderId="2" xfId="4" applyNumberFormat="1" applyFont="1" applyFill="1" applyBorder="1"/>
    <xf numFmtId="4" fontId="21" fillId="0" borderId="3" xfId="0" applyNumberFormat="1" applyFont="1" applyBorder="1" applyAlignment="1">
      <alignment vertical="center"/>
    </xf>
    <xf numFmtId="4" fontId="21" fillId="8" borderId="3" xfId="0" applyNumberFormat="1" applyFont="1" applyFill="1" applyBorder="1" applyAlignment="1">
      <alignment vertical="center"/>
    </xf>
    <xf numFmtId="0" fontId="47" fillId="0" borderId="0" xfId="0" applyFont="1"/>
    <xf numFmtId="4" fontId="21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3" borderId="2" xfId="2" applyNumberFormat="1" applyFont="1" applyFill="1" applyBorder="1" applyAlignment="1">
      <alignment horizontal="center" vertical="center"/>
    </xf>
    <xf numFmtId="4" fontId="17" fillId="0" borderId="2" xfId="3" applyNumberFormat="1" applyFont="1" applyBorder="1" applyAlignment="1">
      <alignment horizontal="center" vertical="center"/>
    </xf>
    <xf numFmtId="4" fontId="17" fillId="0" borderId="3" xfId="3" applyNumberFormat="1" applyFont="1" applyBorder="1" applyAlignment="1">
      <alignment horizontal="center" vertical="center"/>
    </xf>
    <xf numFmtId="4" fontId="7" fillId="3" borderId="3" xfId="2" applyNumberFormat="1" applyFont="1" applyFill="1" applyBorder="1" applyAlignment="1">
      <alignment horizontal="center" vertical="center"/>
    </xf>
    <xf numFmtId="4" fontId="17" fillId="0" borderId="5" xfId="3" applyNumberFormat="1" applyFont="1" applyBorder="1" applyAlignment="1">
      <alignment horizontal="center" vertical="center"/>
    </xf>
    <xf numFmtId="4" fontId="17" fillId="0" borderId="5" xfId="3" applyNumberFormat="1" applyFont="1" applyFill="1" applyBorder="1" applyAlignment="1">
      <alignment horizontal="center" vertical="center"/>
    </xf>
    <xf numFmtId="4" fontId="7" fillId="3" borderId="3" xfId="1" applyNumberFormat="1" applyFont="1" applyFill="1" applyBorder="1" applyAlignment="1">
      <alignment horizontal="center" vertical="center"/>
    </xf>
    <xf numFmtId="4" fontId="7" fillId="3" borderId="2" xfId="1" applyNumberFormat="1" applyFont="1" applyFill="1" applyBorder="1" applyAlignment="1">
      <alignment horizontal="center" vertical="center"/>
    </xf>
    <xf numFmtId="4" fontId="7" fillId="3" borderId="2" xfId="3" applyNumberFormat="1" applyFont="1" applyFill="1" applyBorder="1" applyAlignment="1">
      <alignment horizontal="center" vertical="center"/>
    </xf>
    <xf numFmtId="4" fontId="17" fillId="0" borderId="4" xfId="3" applyNumberFormat="1" applyFont="1" applyBorder="1" applyAlignment="1">
      <alignment horizontal="center" vertical="center"/>
    </xf>
    <xf numFmtId="4" fontId="17" fillId="3" borderId="2" xfId="2" applyNumberFormat="1" applyFont="1" applyFill="1" applyBorder="1" applyAlignment="1">
      <alignment horizontal="center" vertical="center"/>
    </xf>
    <xf numFmtId="4" fontId="17" fillId="3" borderId="2" xfId="0" applyNumberFormat="1" applyFont="1" applyFill="1" applyBorder="1" applyAlignment="1">
      <alignment horizontal="center" vertical="center"/>
    </xf>
    <xf numFmtId="4" fontId="17" fillId="3" borderId="2" xfId="3" applyNumberFormat="1" applyFont="1" applyFill="1" applyBorder="1" applyAlignment="1">
      <alignment horizontal="center" vertical="center"/>
    </xf>
    <xf numFmtId="4" fontId="17" fillId="3" borderId="3" xfId="3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21" fillId="3" borderId="2" xfId="0" applyNumberFormat="1" applyFont="1" applyFill="1" applyBorder="1" applyAlignment="1">
      <alignment horizontal="center" vertical="center"/>
    </xf>
    <xf numFmtId="4" fontId="21" fillId="3" borderId="3" xfId="3" applyNumberFormat="1" applyFont="1" applyFill="1" applyBorder="1" applyAlignment="1">
      <alignment horizontal="center" vertical="center"/>
    </xf>
    <xf numFmtId="4" fontId="21" fillId="3" borderId="2" xfId="3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2" xfId="3" applyNumberFormat="1" applyFont="1" applyFill="1" applyBorder="1" applyAlignment="1">
      <alignment horizontal="center" vertical="center"/>
    </xf>
    <xf numFmtId="4" fontId="7" fillId="3" borderId="3" xfId="3" applyNumberFormat="1" applyFont="1" applyFill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4" fontId="19" fillId="0" borderId="4" xfId="3" applyNumberFormat="1" applyFont="1" applyBorder="1" applyAlignment="1">
      <alignment horizontal="center" vertical="center"/>
    </xf>
    <xf numFmtId="4" fontId="5" fillId="2" borderId="2" xfId="1" applyNumberFormat="1" applyFont="1" applyFill="1" applyBorder="1" applyAlignment="1">
      <alignment vertical="center"/>
    </xf>
    <xf numFmtId="4" fontId="5" fillId="0" borderId="0" xfId="1" applyNumberFormat="1" applyFont="1" applyFill="1" applyAlignment="1">
      <alignment vertical="center"/>
    </xf>
    <xf numFmtId="4" fontId="30" fillId="0" borderId="0" xfId="1" applyNumberFormat="1" applyFont="1" applyFill="1" applyAlignment="1">
      <alignment vertical="center"/>
    </xf>
    <xf numFmtId="4" fontId="5" fillId="7" borderId="2" xfId="2" applyNumberFormat="1" applyFont="1" applyFill="1" applyBorder="1" applyAlignment="1">
      <alignment vertical="center"/>
    </xf>
    <xf numFmtId="4" fontId="10" fillId="0" borderId="0" xfId="2" applyNumberFormat="1" applyFont="1" applyFill="1"/>
    <xf numFmtId="4" fontId="29" fillId="0" borderId="0" xfId="2" applyNumberFormat="1" applyFont="1" applyFill="1"/>
    <xf numFmtId="4" fontId="29" fillId="0" borderId="0" xfId="4" applyNumberFormat="1" applyFont="1" applyFill="1"/>
    <xf numFmtId="4" fontId="5" fillId="2" borderId="2" xfId="3" applyNumberFormat="1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29" fillId="0" borderId="0" xfId="0" applyNumberFormat="1" applyFont="1" applyAlignment="1">
      <alignment vertical="center"/>
    </xf>
    <xf numFmtId="4" fontId="29" fillId="0" borderId="0" xfId="1" applyNumberFormat="1" applyFont="1" applyFill="1"/>
    <xf numFmtId="4" fontId="7" fillId="2" borderId="6" xfId="1" applyNumberFormat="1" applyFont="1" applyFill="1" applyBorder="1" applyAlignment="1">
      <alignment vertical="center"/>
    </xf>
    <xf numFmtId="4" fontId="7" fillId="2" borderId="11" xfId="1" applyNumberFormat="1" applyFont="1" applyFill="1" applyBorder="1" applyAlignment="1">
      <alignment vertical="center"/>
    </xf>
    <xf numFmtId="4" fontId="7" fillId="7" borderId="6" xfId="1" applyNumberFormat="1" applyFont="1" applyFill="1" applyBorder="1" applyAlignment="1">
      <alignment horizontal="right" vertical="center"/>
    </xf>
    <xf numFmtId="4" fontId="29" fillId="0" borderId="0" xfId="0" applyNumberFormat="1" applyFont="1"/>
    <xf numFmtId="0" fontId="18" fillId="1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48" fillId="0" borderId="0" xfId="0" applyFont="1"/>
    <xf numFmtId="0" fontId="18" fillId="0" borderId="0" xfId="0" applyFont="1"/>
    <xf numFmtId="0" fontId="21" fillId="8" borderId="0" xfId="0" applyFont="1" applyFill="1" applyAlignment="1">
      <alignment horizontal="left"/>
    </xf>
    <xf numFmtId="1" fontId="21" fillId="6" borderId="1" xfId="0" applyNumberFormat="1" applyFont="1" applyFill="1" applyBorder="1" applyAlignment="1">
      <alignment horizontal="center" vertical="center"/>
    </xf>
    <xf numFmtId="0" fontId="6" fillId="3" borderId="0" xfId="2" applyFont="1" applyFill="1" applyBorder="1"/>
    <xf numFmtId="4" fontId="6" fillId="3" borderId="2" xfId="2" applyNumberFormat="1" applyFont="1" applyFill="1" applyBorder="1"/>
    <xf numFmtId="4" fontId="6" fillId="3" borderId="2" xfId="1" applyNumberFormat="1" applyFont="1" applyFill="1" applyBorder="1" applyAlignment="1">
      <alignment vertical="center"/>
    </xf>
    <xf numFmtId="4" fontId="6" fillId="6" borderId="2" xfId="2" applyNumberFormat="1" applyFont="1" applyFill="1" applyBorder="1"/>
    <xf numFmtId="0" fontId="6" fillId="3" borderId="0" xfId="1" applyFont="1" applyFill="1" applyBorder="1"/>
    <xf numFmtId="4" fontId="6" fillId="0" borderId="0" xfId="1" applyNumberFormat="1" applyFont="1" applyFill="1"/>
    <xf numFmtId="4" fontId="6" fillId="3" borderId="2" xfId="1" applyNumberFormat="1" applyFont="1" applyFill="1" applyBorder="1"/>
    <xf numFmtId="3" fontId="6" fillId="0" borderId="0" xfId="1" applyNumberFormat="1" applyFont="1" applyFill="1"/>
    <xf numFmtId="10" fontId="18" fillId="0" borderId="0" xfId="0" applyNumberFormat="1" applyFont="1" applyAlignment="1">
      <alignment vertical="center"/>
    </xf>
    <xf numFmtId="10" fontId="21" fillId="0" borderId="0" xfId="0" applyNumberFormat="1" applyFont="1"/>
    <xf numFmtId="4" fontId="17" fillId="0" borderId="2" xfId="4" applyNumberFormat="1" applyFont="1" applyBorder="1"/>
    <xf numFmtId="4" fontId="17" fillId="0" borderId="2" xfId="4" applyNumberFormat="1" applyFont="1" applyFill="1" applyBorder="1"/>
    <xf numFmtId="4" fontId="21" fillId="8" borderId="2" xfId="4" applyNumberFormat="1" applyFont="1" applyFill="1" applyBorder="1"/>
    <xf numFmtId="4" fontId="17" fillId="0" borderId="5" xfId="4" applyNumberFormat="1" applyFont="1" applyBorder="1"/>
    <xf numFmtId="4" fontId="21" fillId="8" borderId="5" xfId="4" applyNumberFormat="1" applyFont="1" applyFill="1" applyBorder="1"/>
    <xf numFmtId="4" fontId="21" fillId="8" borderId="2" xfId="4" applyNumberFormat="1" applyFont="1" applyFill="1" applyBorder="1" applyAlignment="1">
      <alignment vertical="center"/>
    </xf>
    <xf numFmtId="4" fontId="18" fillId="0" borderId="2" xfId="4" applyNumberFormat="1" applyFont="1" applyBorder="1"/>
    <xf numFmtId="4" fontId="17" fillId="0" borderId="4" xfId="4" applyNumberFormat="1" applyFont="1" applyBorder="1"/>
    <xf numFmtId="4" fontId="11" fillId="0" borderId="2" xfId="0" applyNumberFormat="1" applyFont="1" applyBorder="1" applyAlignment="1">
      <alignment horizontal="center" vertical="center"/>
    </xf>
    <xf numFmtId="0" fontId="5" fillId="8" borderId="0" xfId="1" applyFont="1" applyFill="1" applyBorder="1" applyAlignment="1">
      <alignment vertical="center"/>
    </xf>
    <xf numFmtId="4" fontId="7" fillId="8" borderId="6" xfId="1" applyNumberFormat="1" applyFont="1" applyFill="1" applyBorder="1" applyAlignment="1">
      <alignment horizontal="center" vertical="center"/>
    </xf>
    <xf numFmtId="4" fontId="7" fillId="8" borderId="11" xfId="1" applyNumberFormat="1" applyFont="1" applyFill="1" applyBorder="1" applyAlignment="1">
      <alignment horizontal="center" vertical="center"/>
    </xf>
    <xf numFmtId="3" fontId="6" fillId="8" borderId="0" xfId="0" applyNumberFormat="1" applyFont="1" applyFill="1"/>
    <xf numFmtId="3" fontId="7" fillId="8" borderId="6" xfId="1" applyNumberFormat="1" applyFont="1" applyFill="1" applyBorder="1" applyAlignment="1">
      <alignment vertical="center"/>
    </xf>
    <xf numFmtId="4" fontId="30" fillId="8" borderId="5" xfId="1" applyNumberFormat="1" applyFont="1" applyFill="1" applyBorder="1" applyAlignment="1">
      <alignment vertical="center"/>
    </xf>
    <xf numFmtId="4" fontId="30" fillId="8" borderId="3" xfId="1" applyNumberFormat="1" applyFont="1" applyFill="1" applyBorder="1" applyAlignment="1">
      <alignment vertical="center"/>
    </xf>
    <xf numFmtId="0" fontId="29" fillId="8" borderId="0" xfId="0" applyFont="1" applyFill="1"/>
    <xf numFmtId="4" fontId="5" fillId="8" borderId="2" xfId="1" applyNumberFormat="1" applyFont="1" applyFill="1" applyBorder="1" applyAlignment="1">
      <alignment horizontal="center" vertical="center"/>
    </xf>
    <xf numFmtId="4" fontId="5" fillId="8" borderId="3" xfId="1" applyNumberFormat="1" applyFont="1" applyFill="1" applyBorder="1" applyAlignment="1">
      <alignment horizontal="center" vertical="center"/>
    </xf>
    <xf numFmtId="3" fontId="5" fillId="8" borderId="0" xfId="1" applyNumberFormat="1" applyFont="1" applyFill="1" applyAlignment="1">
      <alignment vertical="center"/>
    </xf>
    <xf numFmtId="3" fontId="5" fillId="8" borderId="2" xfId="1" applyNumberFormat="1" applyFont="1" applyFill="1" applyBorder="1" applyAlignment="1">
      <alignment vertical="center"/>
    </xf>
    <xf numFmtId="0" fontId="30" fillId="8" borderId="0" xfId="1" applyFont="1" applyFill="1" applyAlignment="1">
      <alignment vertical="center"/>
    </xf>
    <xf numFmtId="4" fontId="5" fillId="8" borderId="3" xfId="3" applyNumberFormat="1" applyFont="1" applyFill="1" applyBorder="1" applyAlignment="1">
      <alignment horizontal="center" vertical="center"/>
    </xf>
    <xf numFmtId="4" fontId="5" fillId="8" borderId="2" xfId="3" applyNumberFormat="1" applyFont="1" applyFill="1" applyBorder="1" applyAlignment="1">
      <alignment horizontal="center" vertical="center"/>
    </xf>
    <xf numFmtId="3" fontId="5" fillId="8" borderId="0" xfId="0" applyNumberFormat="1" applyFont="1" applyFill="1" applyAlignment="1">
      <alignment vertical="center"/>
    </xf>
    <xf numFmtId="0" fontId="29" fillId="8" borderId="0" xfId="0" applyFont="1" applyFill="1" applyAlignment="1">
      <alignment vertical="center"/>
    </xf>
    <xf numFmtId="10" fontId="29" fillId="8" borderId="0" xfId="2" applyNumberFormat="1" applyFont="1" applyFill="1"/>
    <xf numFmtId="4" fontId="17" fillId="3" borderId="0" xfId="3" applyNumberFormat="1" applyFont="1" applyFill="1" applyBorder="1" applyAlignment="1">
      <alignment horizontal="center" vertical="center"/>
    </xf>
    <xf numFmtId="4" fontId="7" fillId="8" borderId="12" xfId="1" applyNumberFormat="1" applyFont="1" applyFill="1" applyBorder="1" applyAlignment="1">
      <alignment horizontal="center" vertical="center"/>
    </xf>
    <xf numFmtId="4" fontId="5" fillId="8" borderId="5" xfId="1" applyNumberFormat="1" applyFont="1" applyFill="1" applyBorder="1" applyAlignment="1">
      <alignment horizontal="center" vertical="center"/>
    </xf>
    <xf numFmtId="4" fontId="7" fillId="3" borderId="5" xfId="2" applyNumberFormat="1" applyFont="1" applyFill="1" applyBorder="1" applyAlignment="1">
      <alignment horizontal="center" vertical="center"/>
    </xf>
    <xf numFmtId="4" fontId="7" fillId="3" borderId="0" xfId="2" applyNumberFormat="1" applyFont="1" applyFill="1" applyBorder="1" applyAlignment="1">
      <alignment horizontal="center" vertical="center"/>
    </xf>
    <xf numFmtId="4" fontId="21" fillId="3" borderId="0" xfId="3" applyNumberFormat="1" applyFont="1" applyFill="1" applyBorder="1" applyAlignment="1">
      <alignment horizontal="center" vertical="center"/>
    </xf>
    <xf numFmtId="4" fontId="17" fillId="0" borderId="0" xfId="3" applyNumberFormat="1" applyFont="1" applyBorder="1" applyAlignment="1">
      <alignment horizontal="center" vertical="center"/>
    </xf>
    <xf numFmtId="4" fontId="5" fillId="8" borderId="0" xfId="3" applyNumberFormat="1" applyFont="1" applyFill="1" applyBorder="1" applyAlignment="1">
      <alignment horizontal="center" vertical="center"/>
    </xf>
    <xf numFmtId="4" fontId="7" fillId="3" borderId="0" xfId="1" applyNumberFormat="1" applyFont="1" applyFill="1" applyBorder="1" applyAlignment="1">
      <alignment horizontal="center" vertical="center"/>
    </xf>
    <xf numFmtId="4" fontId="7" fillId="3" borderId="5" xfId="1" applyNumberFormat="1" applyFont="1" applyFill="1" applyBorder="1" applyAlignment="1">
      <alignment horizontal="center" vertical="center"/>
    </xf>
    <xf numFmtId="4" fontId="7" fillId="3" borderId="5" xfId="3" applyNumberFormat="1" applyFont="1" applyFill="1" applyBorder="1" applyAlignment="1">
      <alignment horizontal="center" vertical="center"/>
    </xf>
    <xf numFmtId="4" fontId="17" fillId="0" borderId="22" xfId="3" applyNumberFormat="1" applyFont="1" applyBorder="1" applyAlignment="1">
      <alignment horizontal="center" vertical="center"/>
    </xf>
    <xf numFmtId="10" fontId="21" fillId="8" borderId="0" xfId="0" applyNumberFormat="1" applyFont="1" applyFill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10" fontId="21" fillId="0" borderId="0" xfId="0" applyNumberFormat="1" applyFont="1" applyAlignment="1">
      <alignment horizontal="center" vertical="center"/>
    </xf>
    <xf numFmtId="4" fontId="5" fillId="8" borderId="0" xfId="0" applyNumberFormat="1" applyFont="1" applyFill="1" applyAlignment="1">
      <alignment vertical="center"/>
    </xf>
    <xf numFmtId="4" fontId="7" fillId="0" borderId="2" xfId="2" applyNumberFormat="1" applyFont="1" applyFill="1" applyBorder="1"/>
    <xf numFmtId="4" fontId="6" fillId="0" borderId="2" xfId="2" applyNumberFormat="1" applyFont="1" applyFill="1" applyBorder="1"/>
    <xf numFmtId="4" fontId="21" fillId="0" borderId="0" xfId="2" applyNumberFormat="1" applyFont="1" applyFill="1"/>
    <xf numFmtId="4" fontId="22" fillId="0" borderId="0" xfId="2" applyNumberFormat="1" applyFont="1" applyFill="1"/>
    <xf numFmtId="4" fontId="7" fillId="8" borderId="6" xfId="1" applyNumberFormat="1" applyFont="1" applyFill="1" applyBorder="1" applyAlignment="1">
      <alignment horizontal="right" vertical="center"/>
    </xf>
    <xf numFmtId="4" fontId="5" fillId="8" borderId="2" xfId="2" applyNumberFormat="1" applyFont="1" applyFill="1" applyBorder="1" applyAlignment="1">
      <alignment vertical="center"/>
    </xf>
    <xf numFmtId="4" fontId="6" fillId="0" borderId="4" xfId="2" applyNumberFormat="1" applyFont="1" applyFill="1" applyBorder="1"/>
    <xf numFmtId="0" fontId="11" fillId="0" borderId="2" xfId="0" applyFont="1" applyBorder="1"/>
    <xf numFmtId="4" fontId="32" fillId="14" borderId="6" xfId="1" applyNumberFormat="1" applyFont="1" applyFill="1" applyBorder="1" applyAlignment="1">
      <alignment horizontal="center" vertical="center"/>
    </xf>
    <xf numFmtId="167" fontId="32" fillId="14" borderId="2" xfId="1" applyNumberFormat="1" applyFont="1" applyFill="1" applyBorder="1" applyAlignment="1">
      <alignment vertical="center"/>
    </xf>
    <xf numFmtId="167" fontId="32" fillId="5" borderId="2" xfId="1" applyNumberFormat="1" applyFont="1" applyFill="1" applyBorder="1" applyAlignment="1">
      <alignment vertical="center"/>
    </xf>
    <xf numFmtId="167" fontId="49" fillId="5" borderId="2" xfId="1" applyNumberFormat="1" applyFont="1" applyFill="1" applyBorder="1" applyAlignment="1">
      <alignment vertical="center"/>
    </xf>
    <xf numFmtId="167" fontId="32" fillId="14" borderId="2" xfId="1" applyNumberFormat="1" applyFont="1" applyFill="1" applyBorder="1" applyAlignment="1">
      <alignment horizontal="center" vertical="center"/>
    </xf>
    <xf numFmtId="167" fontId="49" fillId="5" borderId="4" xfId="1" applyNumberFormat="1" applyFont="1" applyFill="1" applyBorder="1" applyAlignment="1">
      <alignment vertical="center"/>
    </xf>
    <xf numFmtId="0" fontId="22" fillId="8" borderId="0" xfId="0" applyFont="1" applyFill="1"/>
    <xf numFmtId="4" fontId="35" fillId="0" borderId="0" xfId="4" applyNumberFormat="1" applyFont="1" applyFill="1"/>
    <xf numFmtId="4" fontId="5" fillId="2" borderId="2" xfId="2" applyNumberFormat="1" applyFont="1" applyFill="1" applyBorder="1" applyAlignment="1">
      <alignment vertical="center"/>
    </xf>
    <xf numFmtId="4" fontId="7" fillId="3" borderId="2" xfId="2" applyNumberFormat="1" applyFont="1" applyFill="1" applyBorder="1"/>
    <xf numFmtId="4" fontId="7" fillId="3" borderId="2" xfId="1" applyNumberFormat="1" applyFont="1" applyFill="1" applyBorder="1" applyAlignment="1">
      <alignment vertical="center"/>
    </xf>
    <xf numFmtId="4" fontId="7" fillId="6" borderId="2" xfId="2" applyNumberFormat="1" applyFont="1" applyFill="1" applyBorder="1"/>
    <xf numFmtId="4" fontId="7" fillId="2" borderId="6" xfId="1" applyNumberFormat="1" applyFont="1" applyFill="1" applyBorder="1" applyAlignment="1">
      <alignment horizontal="right" vertical="center"/>
    </xf>
    <xf numFmtId="1" fontId="7" fillId="0" borderId="9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left" vertical="center" wrapText="1"/>
    </xf>
    <xf numFmtId="4" fontId="7" fillId="10" borderId="0" xfId="0" applyNumberFormat="1" applyFont="1" applyFill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" fontId="21" fillId="5" borderId="6" xfId="0" applyNumberFormat="1" applyFont="1" applyFill="1" applyBorder="1" applyAlignment="1">
      <alignment horizontal="center" vertical="center"/>
    </xf>
    <xf numFmtId="1" fontId="21" fillId="5" borderId="4" xfId="0" applyNumberFormat="1" applyFont="1" applyFill="1" applyBorder="1" applyAlignment="1">
      <alignment horizontal="center" vertical="center"/>
    </xf>
    <xf numFmtId="17" fontId="21" fillId="0" borderId="1" xfId="0" applyNumberFormat="1" applyFont="1" applyBorder="1" applyAlignment="1">
      <alignment horizontal="center" vertical="center"/>
    </xf>
    <xf numFmtId="4" fontId="21" fillId="0" borderId="6" xfId="0" applyNumberFormat="1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164" fontId="21" fillId="9" borderId="6" xfId="5" applyNumberFormat="1" applyFont="1" applyFill="1" applyBorder="1" applyAlignment="1">
      <alignment horizontal="center" vertical="center" wrapText="1"/>
    </xf>
    <xf numFmtId="164" fontId="21" fillId="9" borderId="4" xfId="5" applyNumberFormat="1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/>
    </xf>
  </cellXfs>
  <cellStyles count="31">
    <cellStyle name="Comma [0] 2" xfId="5" xr:uid="{00000000-0005-0000-0000-000001000000}"/>
    <cellStyle name="Hiperligação" xfId="28" builtinId="8" hidden="1"/>
    <cellStyle name="Hiperligação" xfId="16" builtinId="8" hidden="1"/>
    <cellStyle name="Hiperligação" xfId="18" builtinId="8" hidden="1"/>
    <cellStyle name="Hiperligação" xfId="20" builtinId="8" hidden="1"/>
    <cellStyle name="Hiperligação" xfId="22" builtinId="8" hidden="1"/>
    <cellStyle name="Hiperligação" xfId="24" builtinId="8" hidden="1"/>
    <cellStyle name="Hiperligação" xfId="26" builtinId="8" hidden="1"/>
    <cellStyle name="Hiperligação" xfId="14" builtinId="8" hidden="1"/>
    <cellStyle name="Hiperligação" xfId="10" builtinId="8" hidden="1"/>
    <cellStyle name="Hiperligação" xfId="12" builtinId="8" hidden="1"/>
    <cellStyle name="Hiperligação" xfId="8" builtinId="8" hidden="1"/>
    <cellStyle name="Hiperligação" xfId="6" builtinId="8" hidden="1"/>
    <cellStyle name="Hiperligação Visitada" xfId="19" builtinId="9" hidden="1"/>
    <cellStyle name="Hiperligação Visitada" xfId="21" builtinId="9" hidden="1"/>
    <cellStyle name="Hiperligação Visitada" xfId="25" builtinId="9" hidden="1"/>
    <cellStyle name="Hiperligação Visitada" xfId="27" builtinId="9" hidden="1"/>
    <cellStyle name="Hiperligação Visitada" xfId="29" builtinId="9" hidden="1"/>
    <cellStyle name="Hiperligação Visitada" xfId="23" builtinId="9" hidden="1"/>
    <cellStyle name="Hiperligação Visitada" xfId="13" builtinId="9" hidden="1"/>
    <cellStyle name="Hiperligação Visitada" xfId="15" builtinId="9" hidden="1"/>
    <cellStyle name="Hiperligação Visitada" xfId="17" builtinId="9" hidden="1"/>
    <cellStyle name="Hiperligação Visitada" xfId="9" builtinId="9" hidden="1"/>
    <cellStyle name="Hiperligação Visitada" xfId="11" builtinId="9" hidden="1"/>
    <cellStyle name="Hiperligação Visitada" xfId="7" builtinId="9" hidden="1"/>
    <cellStyle name="NívelLinha_1" xfId="1" builtinId="1" iLevel="0"/>
    <cellStyle name="NívelLinha_2" xfId="2" builtinId="1" iLevel="1"/>
    <cellStyle name="Normal" xfId="0" builtinId="0"/>
    <cellStyle name="Percentagem" xfId="4" builtinId="5"/>
    <cellStyle name="Vírgula" xfId="3" builtinId="3"/>
    <cellStyle name="Vírgula 2" xfId="30" xr:uid="{B128D709-279B-DA4D-A4B2-496C3A5176B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91048</xdr:colOff>
      <xdr:row>0</xdr:row>
      <xdr:rowOff>36769</xdr:rowOff>
    </xdr:from>
    <xdr:ext cx="773361" cy="796551"/>
    <xdr:pic>
      <xdr:nvPicPr>
        <xdr:cNvPr id="2" name="Imagem 1" descr="Simbolo_ASA.png">
          <a:extLst>
            <a:ext uri="{FF2B5EF4-FFF2-40B4-BE49-F238E27FC236}">
              <a16:creationId xmlns:a16="http://schemas.microsoft.com/office/drawing/2014/main" id="{1B2A2CAD-17F7-0E4B-BD16-6D43FD4B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048" y="36769"/>
          <a:ext cx="773361" cy="79655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91048</xdr:colOff>
      <xdr:row>0</xdr:row>
      <xdr:rowOff>36769</xdr:rowOff>
    </xdr:from>
    <xdr:ext cx="773361" cy="796551"/>
    <xdr:pic>
      <xdr:nvPicPr>
        <xdr:cNvPr id="2" name="Imagem 1" descr="Simbolo_ASA.png">
          <a:extLst>
            <a:ext uri="{FF2B5EF4-FFF2-40B4-BE49-F238E27FC236}">
              <a16:creationId xmlns:a16="http://schemas.microsoft.com/office/drawing/2014/main" id="{CBE5E35C-C98C-5843-9473-96808C41F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048" y="36769"/>
          <a:ext cx="773361" cy="7965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91048</xdr:colOff>
      <xdr:row>0</xdr:row>
      <xdr:rowOff>36769</xdr:rowOff>
    </xdr:from>
    <xdr:to>
      <xdr:col>2</xdr:col>
      <xdr:colOff>465417</xdr:colOff>
      <xdr:row>3</xdr:row>
      <xdr:rowOff>134820</xdr:rowOff>
    </xdr:to>
    <xdr:pic>
      <xdr:nvPicPr>
        <xdr:cNvPr id="3" name="Imagem 2" descr="Simbolo_AS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048" y="36769"/>
          <a:ext cx="791415" cy="7914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861" cy="459722"/>
    <xdr:pic>
      <xdr:nvPicPr>
        <xdr:cNvPr id="2" name="Imagem 2" descr="Simbolo_ASA-LAPI_peque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7861" cy="45972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2615" cy="466513"/>
    <xdr:pic>
      <xdr:nvPicPr>
        <xdr:cNvPr id="2" name="Imagem 2" descr="Simbolo_ASA-LAPI_pequen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2615" cy="46651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2615" cy="466513"/>
    <xdr:pic>
      <xdr:nvPicPr>
        <xdr:cNvPr id="2" name="Imagem 2" descr="Simbolo_ASA-LAPI_pequen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2615" cy="46651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2615" cy="466513"/>
    <xdr:pic>
      <xdr:nvPicPr>
        <xdr:cNvPr id="2" name="Imagem 2" descr="Simbolo_ASA-LAPI_pequen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2615" cy="46651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2615" cy="466513"/>
    <xdr:pic>
      <xdr:nvPicPr>
        <xdr:cNvPr id="2" name="Imagem 2" descr="Simbolo_ASA-LAPI_pequen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2615" cy="466513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76202</xdr:rowOff>
    </xdr:from>
    <xdr:to>
      <xdr:col>2</xdr:col>
      <xdr:colOff>93383</xdr:colOff>
      <xdr:row>2</xdr:row>
      <xdr:rowOff>56030</xdr:rowOff>
    </xdr:to>
    <xdr:pic>
      <xdr:nvPicPr>
        <xdr:cNvPr id="2" name="Imagem 5" descr="Imagem%20Logotipo%20Jardim%20Nov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2"/>
          <a:ext cx="409015" cy="428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DAC12-E1DD-B042-A8D1-E826A1F9EFCB}">
  <sheetPr>
    <pageSetUpPr fitToPage="1"/>
  </sheetPr>
  <dimension ref="A1:M53"/>
  <sheetViews>
    <sheetView zoomScale="126" zoomScaleNormal="120" workbookViewId="0">
      <selection activeCell="K4" sqref="A4:K18"/>
    </sheetView>
  </sheetViews>
  <sheetFormatPr baseColWidth="10" defaultColWidth="9" defaultRowHeight="18" outlineLevelRow="1"/>
  <cols>
    <col min="1" max="1" width="3.19921875" style="15" customWidth="1"/>
    <col min="2" max="2" width="3.19921875" style="3" customWidth="1"/>
    <col min="3" max="3" width="20.796875" style="5" customWidth="1"/>
    <col min="4" max="4" width="15.796875" style="5" customWidth="1"/>
    <col min="5" max="5" width="2.59765625" customWidth="1"/>
    <col min="6" max="6" width="17.59765625" style="5" customWidth="1"/>
    <col min="7" max="7" width="3" customWidth="1"/>
    <col min="8" max="8" width="1.19921875" style="5" hidden="1" customWidth="1"/>
    <col min="9" max="9" width="15.3984375" style="19" customWidth="1"/>
    <col min="10" max="10" width="3.59765625" style="105" customWidth="1"/>
    <col min="11" max="11" width="15.3984375" style="19" customWidth="1"/>
    <col min="12" max="12" width="5" style="5" customWidth="1"/>
    <col min="13" max="16384" width="9" style="5"/>
  </cols>
  <sheetData>
    <row r="1" spans="1:13">
      <c r="C1" s="18" t="s">
        <v>0</v>
      </c>
      <c r="D1" s="18"/>
      <c r="F1" s="18"/>
    </row>
    <row r="2" spans="1:13">
      <c r="C2" s="17" t="s">
        <v>1</v>
      </c>
      <c r="D2" s="18"/>
      <c r="F2" s="18"/>
    </row>
    <row r="3" spans="1:13">
      <c r="C3" s="18"/>
      <c r="D3" s="18"/>
      <c r="F3" s="18"/>
    </row>
    <row r="4" spans="1:13">
      <c r="C4" s="18"/>
      <c r="D4" s="18" t="s">
        <v>239</v>
      </c>
      <c r="F4" s="18"/>
    </row>
    <row r="5" spans="1:13">
      <c r="C5" s="18"/>
      <c r="D5" s="18"/>
      <c r="F5" s="18"/>
    </row>
    <row r="6" spans="1:13" ht="16.5" customHeight="1">
      <c r="D6" s="27">
        <v>2026</v>
      </c>
      <c r="E6" s="5"/>
      <c r="F6" s="27">
        <v>2026</v>
      </c>
      <c r="G6" s="5"/>
      <c r="H6" s="27">
        <v>2018</v>
      </c>
      <c r="I6" s="116">
        <v>2026</v>
      </c>
      <c r="K6" s="27">
        <v>2025</v>
      </c>
    </row>
    <row r="7" spans="1:13" s="29" customFormat="1" ht="24" customHeight="1">
      <c r="B7" s="30"/>
      <c r="D7" s="31" t="s">
        <v>2</v>
      </c>
      <c r="F7" s="28" t="s">
        <v>3</v>
      </c>
      <c r="H7" s="28" t="s">
        <v>4</v>
      </c>
      <c r="I7" s="117" t="s">
        <v>5</v>
      </c>
      <c r="J7" s="107"/>
      <c r="K7" s="28" t="s">
        <v>5</v>
      </c>
    </row>
    <row r="8" spans="1:13">
      <c r="F8" s="16"/>
    </row>
    <row r="9" spans="1:13" s="8" customFormat="1" ht="28.5" customHeight="1">
      <c r="A9" s="7" t="s">
        <v>6</v>
      </c>
      <c r="B9" s="7"/>
      <c r="C9" s="7"/>
      <c r="D9" s="573">
        <f>SUM(D10:D12)</f>
        <v>419200</v>
      </c>
      <c r="E9" s="664"/>
      <c r="F9" s="573">
        <f>SUM(F10:F12)</f>
        <v>3425700.1200250001</v>
      </c>
      <c r="G9" s="579"/>
      <c r="H9" s="573" t="e">
        <f>#REF!+F9+#REF!+#REF!</f>
        <v>#REF!</v>
      </c>
      <c r="I9" s="576">
        <f>D9+F9</f>
        <v>3844900.1200250001</v>
      </c>
      <c r="J9" s="575"/>
      <c r="K9" s="665">
        <f>RESUMO!O9</f>
        <v>3681816.9822</v>
      </c>
    </row>
    <row r="10" spans="1:13" s="9" customFormat="1" ht="14.25" customHeight="1" outlineLevel="1">
      <c r="A10" s="20"/>
      <c r="B10" s="25" t="s">
        <v>7</v>
      </c>
      <c r="C10" s="20"/>
      <c r="D10" s="666">
        <f>RESUMO!I10</f>
        <v>109200</v>
      </c>
      <c r="E10" s="577"/>
      <c r="F10" s="666">
        <f>RESUMO!D10+RESUMO!E10+RESUMO!F10+RESUMO!G10+RESUMO!H10</f>
        <v>2303135.8198250001</v>
      </c>
      <c r="G10" s="577"/>
      <c r="H10" s="667" t="e">
        <f>#REF!+F10+#REF!+#REF!</f>
        <v>#REF!</v>
      </c>
      <c r="I10" s="668">
        <f>SUM(D10:F10)</f>
        <v>2412335.8198250001</v>
      </c>
      <c r="J10" s="578"/>
      <c r="K10" s="666">
        <f>RESUMO!O10</f>
        <v>2295536.3459999999</v>
      </c>
      <c r="L10" s="114"/>
    </row>
    <row r="11" spans="1:13" s="9" customFormat="1" ht="14.25" customHeight="1" outlineLevel="1">
      <c r="A11" s="20"/>
      <c r="B11" s="25" t="s">
        <v>8</v>
      </c>
      <c r="C11" s="25"/>
      <c r="D11" s="666">
        <f>RESUMO!I11</f>
        <v>310000</v>
      </c>
      <c r="E11" s="577"/>
      <c r="F11" s="666">
        <f>RESUMO!D11+RESUMO!E11+RESUMO!F11+RESUMO!G11+RESUMO!H11</f>
        <v>973994.79619999998</v>
      </c>
      <c r="G11" s="577"/>
      <c r="H11" s="667" t="e">
        <f>#REF!+F11+#REF!+#REF!</f>
        <v>#REF!</v>
      </c>
      <c r="I11" s="668">
        <f>SUM(D11:F11)</f>
        <v>1283994.7962</v>
      </c>
      <c r="J11" s="579"/>
      <c r="K11" s="666">
        <f>RESUMO!O11</f>
        <v>1148480.6362000001</v>
      </c>
      <c r="L11" s="115"/>
    </row>
    <row r="12" spans="1:13" s="9" customFormat="1" ht="14.25" customHeight="1" outlineLevel="1">
      <c r="A12" s="20"/>
      <c r="B12" s="25" t="s">
        <v>9</v>
      </c>
      <c r="C12" s="20"/>
      <c r="D12" s="666">
        <f>RESUMO!I12</f>
        <v>0</v>
      </c>
      <c r="E12" s="577"/>
      <c r="F12" s="666">
        <f>RESUMO!D12+RESUMO!E12+RESUMO!F12+RESUMO!G12+RESUMO!H12</f>
        <v>148569.50400000002</v>
      </c>
      <c r="G12" s="577"/>
      <c r="H12" s="667" t="e">
        <f>#REF!+F12+#REF!+#REF!</f>
        <v>#REF!</v>
      </c>
      <c r="I12" s="668">
        <f>SUM(D12:F12)</f>
        <v>148569.50400000002</v>
      </c>
      <c r="J12" s="578"/>
      <c r="K12" s="666">
        <f>RESUMO!O12</f>
        <v>237800</v>
      </c>
      <c r="L12" s="109"/>
    </row>
    <row r="13" spans="1:13" s="12" customFormat="1" ht="28.5" customHeight="1">
      <c r="A13" s="6" t="s">
        <v>10</v>
      </c>
      <c r="B13" s="6"/>
      <c r="C13" s="6"/>
      <c r="D13" s="580">
        <f>SUM(D14:D17)</f>
        <v>407025.5</v>
      </c>
      <c r="E13" s="664"/>
      <c r="F13" s="580">
        <f>SUM(F14:F17)</f>
        <v>3430908.8271506</v>
      </c>
      <c r="G13" s="579"/>
      <c r="H13" s="573" t="e">
        <f>#REF!+F13+#REF!+#REF!</f>
        <v>#REF!</v>
      </c>
      <c r="I13" s="576">
        <f>D13+F13</f>
        <v>3837934.3271506</v>
      </c>
      <c r="J13" s="578"/>
      <c r="K13" s="665">
        <f>RESUMO!O13</f>
        <v>3692392.93</v>
      </c>
    </row>
    <row r="14" spans="1:13" s="13" customFormat="1" ht="14.25" customHeight="1" outlineLevel="1">
      <c r="A14" s="21"/>
      <c r="B14" s="21" t="s">
        <v>11</v>
      </c>
      <c r="C14" s="21"/>
      <c r="D14" s="666">
        <f>RESUMO!I14</f>
        <v>8150</v>
      </c>
      <c r="E14" s="215"/>
      <c r="F14" s="666">
        <f>RESUMO!D14+RESUMO!E14+RESUMO!F14+RESUMO!G14+RESUMO!H14</f>
        <v>546000</v>
      </c>
      <c r="G14" s="215"/>
      <c r="H14" s="667" t="e">
        <f>#REF!+F14+#REF!+#REF!</f>
        <v>#REF!</v>
      </c>
      <c r="I14" s="668">
        <f>SUM(D14:F14)</f>
        <v>554150</v>
      </c>
      <c r="J14" s="579"/>
      <c r="K14" s="666">
        <f>RESUMO!O14</f>
        <v>605000</v>
      </c>
      <c r="L14" s="115"/>
    </row>
    <row r="15" spans="1:13" s="9" customFormat="1" ht="14.25" customHeight="1" outlineLevel="1">
      <c r="A15" s="20"/>
      <c r="B15" s="21" t="s">
        <v>12</v>
      </c>
      <c r="C15" s="39"/>
      <c r="D15" s="666">
        <f>RESUMO!I15</f>
        <v>127170</v>
      </c>
      <c r="E15" s="577"/>
      <c r="F15" s="666">
        <f>RESUMO!D15+RESUMO!E15+RESUMO!F15+RESUMO!G15+RESUMO!H15</f>
        <v>492160</v>
      </c>
      <c r="G15" s="577"/>
      <c r="H15" s="667" t="e">
        <f>#REF!+F15+#REF!+#REF!</f>
        <v>#REF!</v>
      </c>
      <c r="I15" s="668">
        <f>SUM(D15:F15)</f>
        <v>619330</v>
      </c>
      <c r="J15" s="579"/>
      <c r="K15" s="666">
        <f>RESUMO!O15</f>
        <v>493200</v>
      </c>
      <c r="L15" s="115"/>
    </row>
    <row r="16" spans="1:13" s="13" customFormat="1" ht="14.25" customHeight="1" outlineLevel="1">
      <c r="A16" s="21"/>
      <c r="B16" s="21" t="s">
        <v>13</v>
      </c>
      <c r="C16" s="21"/>
      <c r="D16" s="666">
        <f>RESUMO!I16</f>
        <v>269705.5</v>
      </c>
      <c r="E16" s="215"/>
      <c r="F16" s="666">
        <f>RESUMO!D16+RESUMO!E16+RESUMO!F16+RESUMO!G16+RESUMO!H16</f>
        <v>2300748.8271506</v>
      </c>
      <c r="G16" s="215"/>
      <c r="H16" s="667" t="e">
        <f>#REF!+F16+#REF!+#REF!</f>
        <v>#REF!</v>
      </c>
      <c r="I16" s="668">
        <f>SUM(D16:F16)</f>
        <v>2570454.3271506</v>
      </c>
      <c r="J16" s="579"/>
      <c r="K16" s="666">
        <f>RESUMO!O16</f>
        <v>2488892.9300000002</v>
      </c>
      <c r="L16" s="115"/>
      <c r="M16" s="36"/>
    </row>
    <row r="17" spans="1:12" s="13" customFormat="1" ht="14.25" customHeight="1" outlineLevel="1">
      <c r="A17" s="21"/>
      <c r="B17" s="21" t="s">
        <v>14</v>
      </c>
      <c r="C17" s="21"/>
      <c r="D17" s="666">
        <f>RESUMO!I17</f>
        <v>2000</v>
      </c>
      <c r="E17" s="215"/>
      <c r="F17" s="666">
        <f>RESUMO!D17+RESUMO!E17+RESUMO!F17+RESUMO!G17+RESUMO!H17</f>
        <v>92000</v>
      </c>
      <c r="G17" s="215"/>
      <c r="H17" s="667" t="e">
        <f>#REF!+F17+#REF!+#REF!</f>
        <v>#REF!</v>
      </c>
      <c r="I17" s="668">
        <f>SUM(D17:F17)</f>
        <v>94000</v>
      </c>
      <c r="J17" s="579"/>
      <c r="K17" s="666">
        <f>RESUMO!O17</f>
        <v>105300</v>
      </c>
      <c r="L17" s="115"/>
    </row>
    <row r="18" spans="1:12" ht="15.75" customHeight="1">
      <c r="A18" s="6" t="s">
        <v>15</v>
      </c>
      <c r="B18" s="7"/>
      <c r="C18" s="7"/>
      <c r="D18" s="584">
        <f>D9-D13</f>
        <v>12174.5</v>
      </c>
      <c r="E18" s="664"/>
      <c r="F18" s="584">
        <f>F9-F13</f>
        <v>-5208.7071255999617</v>
      </c>
      <c r="G18" s="664"/>
      <c r="H18" s="584" t="e">
        <f>H9-H13</f>
        <v>#REF!</v>
      </c>
      <c r="I18" s="586">
        <f>I9-I13</f>
        <v>6965.7928744000383</v>
      </c>
      <c r="J18" s="587"/>
      <c r="K18" s="669">
        <f>K9-K13</f>
        <v>-10575.947800000198</v>
      </c>
    </row>
    <row r="19" spans="1:12">
      <c r="F19" s="16"/>
    </row>
    <row r="20" spans="1:12">
      <c r="F20" s="16"/>
    </row>
    <row r="21" spans="1:12">
      <c r="F21" s="16"/>
    </row>
    <row r="22" spans="1:12">
      <c r="F22" s="16"/>
    </row>
    <row r="23" spans="1:12">
      <c r="F23" s="16"/>
    </row>
    <row r="24" spans="1:12">
      <c r="F24" s="16"/>
    </row>
    <row r="25" spans="1:12">
      <c r="F25" s="16"/>
    </row>
    <row r="26" spans="1:12">
      <c r="F26" s="16"/>
    </row>
    <row r="27" spans="1:12">
      <c r="F27" s="16"/>
    </row>
    <row r="28" spans="1:12">
      <c r="F28" s="16"/>
    </row>
    <row r="29" spans="1:12">
      <c r="F29" s="16"/>
    </row>
    <row r="30" spans="1:12">
      <c r="F30" s="16"/>
    </row>
    <row r="31" spans="1:12">
      <c r="F31" s="16"/>
    </row>
    <row r="32" spans="1:12">
      <c r="F32" s="16"/>
    </row>
    <row r="33" spans="6:6">
      <c r="F33" s="16"/>
    </row>
    <row r="34" spans="6:6">
      <c r="F34" s="16"/>
    </row>
    <row r="35" spans="6:6">
      <c r="F35" s="16"/>
    </row>
    <row r="36" spans="6:6">
      <c r="F36" s="16"/>
    </row>
    <row r="37" spans="6:6">
      <c r="F37" s="16"/>
    </row>
    <row r="38" spans="6:6">
      <c r="F38" s="16"/>
    </row>
    <row r="39" spans="6:6">
      <c r="F39" s="16"/>
    </row>
    <row r="40" spans="6:6">
      <c r="F40" s="16"/>
    </row>
    <row r="41" spans="6:6">
      <c r="F41" s="16"/>
    </row>
    <row r="42" spans="6:6">
      <c r="F42" s="16"/>
    </row>
    <row r="43" spans="6:6">
      <c r="F43" s="16"/>
    </row>
    <row r="44" spans="6:6">
      <c r="F44" s="16"/>
    </row>
    <row r="45" spans="6:6">
      <c r="F45" s="16"/>
    </row>
    <row r="46" spans="6:6">
      <c r="F46" s="16"/>
    </row>
    <row r="47" spans="6:6">
      <c r="F47" s="16"/>
    </row>
    <row r="48" spans="6:6">
      <c r="F48" s="16"/>
    </row>
    <row r="49" spans="6:6">
      <c r="F49" s="16"/>
    </row>
    <row r="50" spans="6:6">
      <c r="F50" s="16"/>
    </row>
    <row r="51" spans="6:6">
      <c r="F51" s="16"/>
    </row>
    <row r="52" spans="6:6">
      <c r="F52" s="16"/>
    </row>
    <row r="53" spans="6:6">
      <c r="F53" s="16"/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C42A-1AB2-3B41-8D88-17A17021C115}">
  <sheetPr>
    <pageSetUpPr fitToPage="1"/>
  </sheetPr>
  <dimension ref="A1:Q51"/>
  <sheetViews>
    <sheetView tabSelected="1" zoomScale="93" zoomScaleNormal="120" workbookViewId="0">
      <selection activeCell="C7" sqref="C7"/>
    </sheetView>
  </sheetViews>
  <sheetFormatPr baseColWidth="10" defaultColWidth="9" defaultRowHeight="18" outlineLevelRow="1"/>
  <cols>
    <col min="1" max="1" width="3.19921875" style="15" customWidth="1"/>
    <col min="2" max="2" width="3.19921875" style="3" customWidth="1"/>
    <col min="3" max="3" width="20.796875" style="5" customWidth="1"/>
    <col min="4" max="4" width="12.796875" style="5" customWidth="1"/>
    <col min="5" max="5" width="15" style="5" customWidth="1"/>
    <col min="6" max="6" width="13.59765625" style="5" customWidth="1"/>
    <col min="7" max="7" width="15.59765625" style="16" customWidth="1"/>
    <col min="8" max="8" width="13.796875" style="19" customWidth="1"/>
    <col min="9" max="9" width="12.796875" style="19" customWidth="1"/>
    <col min="10" max="10" width="3" customWidth="1"/>
    <col min="11" max="11" width="15.3984375" style="5" hidden="1" customWidth="1"/>
    <col min="12" max="12" width="5.19921875" style="105" hidden="1" customWidth="1"/>
    <col min="13" max="13" width="15.59765625" style="19" customWidth="1"/>
    <col min="14" max="14" width="4.796875" style="105" customWidth="1"/>
    <col min="15" max="15" width="15.59765625" style="19" customWidth="1"/>
    <col min="16" max="16" width="5" style="5" customWidth="1"/>
    <col min="17" max="16384" width="9" style="5"/>
  </cols>
  <sheetData>
    <row r="1" spans="1:17">
      <c r="C1" s="18" t="s">
        <v>0</v>
      </c>
      <c r="D1" s="18"/>
      <c r="E1" s="18"/>
      <c r="F1" s="18"/>
    </row>
    <row r="2" spans="1:17">
      <c r="C2" s="17" t="s">
        <v>1</v>
      </c>
      <c r="D2" s="18"/>
      <c r="E2" s="18"/>
      <c r="F2" s="18"/>
    </row>
    <row r="3" spans="1:17">
      <c r="C3" s="18"/>
      <c r="D3" s="18"/>
      <c r="E3" s="18"/>
      <c r="F3" s="18"/>
    </row>
    <row r="4" spans="1:17">
      <c r="C4" s="18"/>
      <c r="D4" s="18" t="s">
        <v>239</v>
      </c>
      <c r="E4" s="18"/>
      <c r="F4" s="18"/>
    </row>
    <row r="5" spans="1:17">
      <c r="C5" s="18"/>
      <c r="D5" s="18"/>
      <c r="E5" s="18"/>
      <c r="F5" s="18"/>
    </row>
    <row r="6" spans="1:17" ht="16.5" customHeight="1">
      <c r="D6" s="2">
        <v>2026</v>
      </c>
      <c r="E6" s="1"/>
      <c r="F6" s="1"/>
      <c r="G6" s="1"/>
      <c r="H6" s="1"/>
      <c r="I6" s="670"/>
      <c r="J6" s="5"/>
      <c r="K6" s="27">
        <v>2018</v>
      </c>
      <c r="L6" s="106"/>
      <c r="M6" s="116">
        <v>2026</v>
      </c>
      <c r="O6" s="116">
        <v>2025</v>
      </c>
    </row>
    <row r="7" spans="1:17" s="29" customFormat="1" ht="24" customHeight="1">
      <c r="B7" s="30"/>
      <c r="D7" s="31" t="s">
        <v>16</v>
      </c>
      <c r="E7" s="28" t="s">
        <v>17</v>
      </c>
      <c r="F7" s="28" t="s">
        <v>18</v>
      </c>
      <c r="G7" s="31" t="s">
        <v>19</v>
      </c>
      <c r="H7" s="28" t="s">
        <v>20</v>
      </c>
      <c r="I7" s="28" t="s">
        <v>21</v>
      </c>
      <c r="K7" s="28" t="s">
        <v>4</v>
      </c>
      <c r="L7" s="107"/>
      <c r="M7" s="117" t="s">
        <v>5</v>
      </c>
      <c r="N7" s="107"/>
      <c r="O7" s="117" t="s">
        <v>5</v>
      </c>
    </row>
    <row r="8" spans="1:17">
      <c r="E8" s="16"/>
      <c r="F8" s="19"/>
    </row>
    <row r="9" spans="1:17" s="8" customFormat="1" ht="28.5" customHeight="1">
      <c r="A9" s="7" t="s">
        <v>6</v>
      </c>
      <c r="B9" s="7"/>
      <c r="C9" s="7"/>
      <c r="D9" s="573">
        <f>CONSOLIDADO!D10</f>
        <v>15434.046875000002</v>
      </c>
      <c r="E9" s="573">
        <f>CONSOLIDADO!E10</f>
        <v>998444.72560000012</v>
      </c>
      <c r="F9" s="573">
        <f>CONSOLIDADO!F10</f>
        <v>431984.78159999999</v>
      </c>
      <c r="G9" s="573">
        <f>CONSOLIDADO!G10</f>
        <v>1433713.7439999999</v>
      </c>
      <c r="H9" s="573">
        <f>CONSOLIDADO!H10</f>
        <v>546122.82195000001</v>
      </c>
      <c r="I9" s="573">
        <f>CONSOLIDADO!I10</f>
        <v>419200</v>
      </c>
      <c r="J9" s="574"/>
      <c r="K9" s="573">
        <f t="shared" ref="K9:K17" si="0">G9+E9+H9+F9</f>
        <v>3410266.0731500001</v>
      </c>
      <c r="L9" s="575"/>
      <c r="M9" s="576">
        <f t="shared" ref="M9:M14" si="1">SUM(D9:I9)</f>
        <v>3844900.1200249996</v>
      </c>
      <c r="N9" s="575"/>
      <c r="O9" s="576">
        <v>3681816.9822</v>
      </c>
      <c r="P9" s="574"/>
    </row>
    <row r="10" spans="1:17" s="9" customFormat="1" ht="14.25" customHeight="1" outlineLevel="1">
      <c r="A10" s="20"/>
      <c r="B10" s="594" t="s">
        <v>7</v>
      </c>
      <c r="C10" s="20"/>
      <c r="D10" s="595">
        <f>CONSOLIDADO!D11</f>
        <v>5867.4228750000002</v>
      </c>
      <c r="E10" s="595">
        <f>CONSOLIDADO!E11</f>
        <v>952441.84560000012</v>
      </c>
      <c r="F10" s="595">
        <f>CONSOLIDADO!F11</f>
        <v>214061.1825</v>
      </c>
      <c r="G10" s="595">
        <f>CONSOLIDADO!G11</f>
        <v>872662.31400000013</v>
      </c>
      <c r="H10" s="595">
        <f>CONSOLIDADO!H11</f>
        <v>258103.05485000001</v>
      </c>
      <c r="I10" s="595">
        <f>CONSOLIDADO!I11</f>
        <v>109200</v>
      </c>
      <c r="J10" s="577"/>
      <c r="K10" s="596">
        <f t="shared" si="0"/>
        <v>2297268.3969500004</v>
      </c>
      <c r="L10" s="578">
        <f>K10/K9</f>
        <v>0.67363318511627335</v>
      </c>
      <c r="M10" s="597">
        <f t="shared" si="1"/>
        <v>2412335.8198250001</v>
      </c>
      <c r="N10" s="578">
        <f>M10/M9</f>
        <v>0.62741182983169796</v>
      </c>
      <c r="O10" s="597">
        <v>2295536.3459999999</v>
      </c>
      <c r="P10" s="578">
        <f>O10/O9</f>
        <v>0.62347921069893752</v>
      </c>
    </row>
    <row r="11" spans="1:17" s="9" customFormat="1" ht="14.25" customHeight="1" outlineLevel="1">
      <c r="A11" s="20"/>
      <c r="B11" s="594" t="s">
        <v>8</v>
      </c>
      <c r="C11" s="594"/>
      <c r="D11" s="595">
        <f>CONSOLIDADO!D28</f>
        <v>0</v>
      </c>
      <c r="E11" s="595">
        <f>CONSOLIDADO!E28</f>
        <v>0</v>
      </c>
      <c r="F11" s="595">
        <f>CONSOLIDADO!F28</f>
        <v>189923.59910000002</v>
      </c>
      <c r="G11" s="595">
        <f>CONSOLIDADO!G28</f>
        <v>545051.42999999993</v>
      </c>
      <c r="H11" s="595">
        <f>CONSOLIDADO!H28</f>
        <v>239019.7671</v>
      </c>
      <c r="I11" s="595">
        <f>CONSOLIDADO!I28</f>
        <v>310000</v>
      </c>
      <c r="J11" s="577"/>
      <c r="K11" s="596">
        <f t="shared" si="0"/>
        <v>973994.79619999998</v>
      </c>
      <c r="L11" s="578">
        <f>K11/K9</f>
        <v>0.28560668736921718</v>
      </c>
      <c r="M11" s="597">
        <f t="shared" si="1"/>
        <v>1283994.7962</v>
      </c>
      <c r="N11" s="579">
        <f>M11/M9</f>
        <v>0.33394750347680069</v>
      </c>
      <c r="O11" s="597">
        <v>1148480.6362000001</v>
      </c>
      <c r="P11" s="579">
        <f>O11/O9</f>
        <v>0.31193311393597495</v>
      </c>
    </row>
    <row r="12" spans="1:17" s="9" customFormat="1" ht="14.25" customHeight="1" outlineLevel="1">
      <c r="A12" s="20"/>
      <c r="B12" s="594" t="s">
        <v>9</v>
      </c>
      <c r="C12" s="20"/>
      <c r="D12" s="595">
        <f>CONSOLIDADO!D39+CONSOLIDADO!D43</f>
        <v>9566.6240000000016</v>
      </c>
      <c r="E12" s="595">
        <f>CONSOLIDADO!E39+CONSOLIDADO!E43+CONSOLIDADO!E37</f>
        <v>46002.880000000005</v>
      </c>
      <c r="F12" s="595">
        <f>CONSOLIDADO!F39+CONSOLIDADO!F43</f>
        <v>28000</v>
      </c>
      <c r="G12" s="595">
        <f>CONSOLIDADO!G39+CONSOLIDADO!G43</f>
        <v>16000</v>
      </c>
      <c r="H12" s="595">
        <f>CONSOLIDADO!H39+CONSOLIDADO!H43</f>
        <v>49000</v>
      </c>
      <c r="I12" s="595">
        <f>CONSOLIDADO!I39+CONSOLIDADO!I43</f>
        <v>0</v>
      </c>
      <c r="J12" s="577"/>
      <c r="K12" s="596">
        <f t="shared" si="0"/>
        <v>139002.88</v>
      </c>
      <c r="L12" s="578">
        <f>K12/K9</f>
        <v>4.0760127514509623E-2</v>
      </c>
      <c r="M12" s="597">
        <f t="shared" si="1"/>
        <v>148569.50400000002</v>
      </c>
      <c r="N12" s="578">
        <f>M12/M9</f>
        <v>3.8640666691501471E-2</v>
      </c>
      <c r="O12" s="597">
        <v>237800</v>
      </c>
      <c r="P12" s="578">
        <f>O12/O9</f>
        <v>6.4587675365087568E-2</v>
      </c>
    </row>
    <row r="13" spans="1:17" s="12" customFormat="1" ht="28.5" customHeight="1">
      <c r="A13" s="6" t="s">
        <v>10</v>
      </c>
      <c r="B13" s="6"/>
      <c r="C13" s="6"/>
      <c r="D13" s="580">
        <f>CONSOLIDADO!D46</f>
        <v>15180</v>
      </c>
      <c r="E13" s="580">
        <f>CONSOLIDADO!E46</f>
        <v>993857.80050200003</v>
      </c>
      <c r="F13" s="580">
        <f>CONSOLIDADO!F46</f>
        <v>478077.69432100002</v>
      </c>
      <c r="G13" s="580">
        <f>CONSOLIDADO!G46</f>
        <v>1404371.1429376001</v>
      </c>
      <c r="H13" s="580">
        <f>CONSOLIDADO!H46</f>
        <v>539422.18938999996</v>
      </c>
      <c r="I13" s="580">
        <f>CONSOLIDADO!I46</f>
        <v>407025.5</v>
      </c>
      <c r="J13" s="581"/>
      <c r="K13" s="573">
        <f t="shared" si="0"/>
        <v>3415728.8271506</v>
      </c>
      <c r="L13" s="582"/>
      <c r="M13" s="576">
        <f t="shared" si="1"/>
        <v>3837934.3271506</v>
      </c>
      <c r="N13" s="578"/>
      <c r="O13" s="576">
        <v>3692392.93</v>
      </c>
      <c r="P13" s="581"/>
    </row>
    <row r="14" spans="1:17" s="415" customFormat="1" ht="14.25" customHeight="1" outlineLevel="1">
      <c r="A14" s="598"/>
      <c r="B14" s="598" t="s">
        <v>11</v>
      </c>
      <c r="C14" s="598"/>
      <c r="D14" s="595">
        <f>CONSOLIDADO!D47</f>
        <v>0</v>
      </c>
      <c r="E14" s="595">
        <f>CONSOLIDADO!E47</f>
        <v>176000</v>
      </c>
      <c r="F14" s="595">
        <f>CONSOLIDADO!F47</f>
        <v>87000</v>
      </c>
      <c r="G14" s="595">
        <f>CONSOLIDADO!G47</f>
        <v>193000</v>
      </c>
      <c r="H14" s="595">
        <f>CONSOLIDADO!H47</f>
        <v>90000</v>
      </c>
      <c r="I14" s="595">
        <f>CONSOLIDADO!I47</f>
        <v>8150</v>
      </c>
      <c r="J14" s="599"/>
      <c r="K14" s="596">
        <f t="shared" si="0"/>
        <v>546000</v>
      </c>
      <c r="L14" s="583">
        <f>K14/K13</f>
        <v>0.15984875487187694</v>
      </c>
      <c r="M14" s="597">
        <f t="shared" si="1"/>
        <v>554150</v>
      </c>
      <c r="N14" s="579">
        <f>M14/M13</f>
        <v>0.14438756705131481</v>
      </c>
      <c r="O14" s="597">
        <v>605000</v>
      </c>
      <c r="P14" s="579">
        <f>O14/O13</f>
        <v>0.16385038414641315</v>
      </c>
    </row>
    <row r="15" spans="1:17" s="9" customFormat="1" ht="14.25" customHeight="1" outlineLevel="1">
      <c r="A15" s="20"/>
      <c r="B15" s="598" t="s">
        <v>12</v>
      </c>
      <c r="C15" s="39"/>
      <c r="D15" s="595">
        <f>CONSOLIDADO!D53</f>
        <v>15180</v>
      </c>
      <c r="E15" s="595">
        <f>CONSOLIDADO!E53</f>
        <v>118850</v>
      </c>
      <c r="F15" s="595">
        <f>CONSOLIDADO!F53</f>
        <v>42430</v>
      </c>
      <c r="G15" s="595">
        <f>CONSOLIDADO!G53</f>
        <v>208550</v>
      </c>
      <c r="H15" s="595">
        <f>CONSOLIDADO!H53</f>
        <v>107150</v>
      </c>
      <c r="I15" s="595">
        <f>CONSOLIDADO!I53</f>
        <v>127170</v>
      </c>
      <c r="J15" s="577"/>
      <c r="K15" s="596">
        <f t="shared" si="0"/>
        <v>476980</v>
      </c>
      <c r="L15" s="583">
        <f>K15/K13</f>
        <v>0.13964223278166277</v>
      </c>
      <c r="M15" s="597">
        <f t="shared" ref="M15:M17" si="2">SUM(D15:I15)</f>
        <v>619330</v>
      </c>
      <c r="N15" s="579">
        <f>M15/M13</f>
        <v>0.16137066119622989</v>
      </c>
      <c r="O15" s="597">
        <v>493200</v>
      </c>
      <c r="P15" s="579">
        <f>O15/O13</f>
        <v>0.13357191646448094</v>
      </c>
    </row>
    <row r="16" spans="1:17" s="415" customFormat="1" ht="14.25" customHeight="1" outlineLevel="1">
      <c r="A16" s="598"/>
      <c r="B16" s="598" t="s">
        <v>13</v>
      </c>
      <c r="C16" s="598"/>
      <c r="D16" s="600">
        <f>CONSOLIDADO!D82</f>
        <v>0</v>
      </c>
      <c r="E16" s="600">
        <f>CONSOLIDADO!E82</f>
        <v>674007.80050200003</v>
      </c>
      <c r="F16" s="600">
        <f>CONSOLIDADO!F82</f>
        <v>310647.69432100002</v>
      </c>
      <c r="G16" s="600">
        <f>CONSOLIDADO!G82</f>
        <v>984821.14293760015</v>
      </c>
      <c r="H16" s="600">
        <f>CONSOLIDADO!H82</f>
        <v>331272.18939000001</v>
      </c>
      <c r="I16" s="600">
        <f>CONSOLIDADO!I82</f>
        <v>269705.5</v>
      </c>
      <c r="J16" s="599"/>
      <c r="K16" s="596">
        <f t="shared" si="0"/>
        <v>2300748.8271506</v>
      </c>
      <c r="L16" s="583">
        <f>K16/K13</f>
        <v>0.67357478991383635</v>
      </c>
      <c r="M16" s="597">
        <f t="shared" si="2"/>
        <v>2570454.3271506</v>
      </c>
      <c r="N16" s="579">
        <f>M16/M13</f>
        <v>0.6697494297821881</v>
      </c>
      <c r="O16" s="597">
        <v>2488892.9300000002</v>
      </c>
      <c r="P16" s="579">
        <f>O16/O13</f>
        <v>0.67405960773519302</v>
      </c>
      <c r="Q16" s="601"/>
    </row>
    <row r="17" spans="1:16" s="415" customFormat="1" ht="14.25" customHeight="1" outlineLevel="1">
      <c r="A17" s="598"/>
      <c r="B17" s="598" t="s">
        <v>14</v>
      </c>
      <c r="C17" s="598"/>
      <c r="D17" s="600">
        <f>CONSOLIDADO!D92+CONSOLIDADO!D94+CONSOLIDADO!D96</f>
        <v>0</v>
      </c>
      <c r="E17" s="600">
        <f>CONSOLIDADO!E92+CONSOLIDADO!E94+CONSOLIDADO!E96</f>
        <v>25000</v>
      </c>
      <c r="F17" s="600">
        <f>CONSOLIDADO!F92+CONSOLIDADO!F94+CONSOLIDADO!F96</f>
        <v>38000</v>
      </c>
      <c r="G17" s="600">
        <f>CONSOLIDADO!G92+CONSOLIDADO!G94+CONSOLIDADO!G96</f>
        <v>18000</v>
      </c>
      <c r="H17" s="600">
        <f>CONSOLIDADO!H92+CONSOLIDADO!H94+CONSOLIDADO!H96</f>
        <v>11000</v>
      </c>
      <c r="I17" s="600">
        <f>CONSOLIDADO!I92+CONSOLIDADO!I94+CONSOLIDADO!I96</f>
        <v>2000</v>
      </c>
      <c r="J17" s="599"/>
      <c r="K17" s="596">
        <f t="shared" si="0"/>
        <v>92000</v>
      </c>
      <c r="L17" s="583" t="e">
        <f>K17/#REF!</f>
        <v>#REF!</v>
      </c>
      <c r="M17" s="597">
        <f t="shared" si="2"/>
        <v>94000</v>
      </c>
      <c r="N17" s="579">
        <f>M17/M13</f>
        <v>2.4492341970267239E-2</v>
      </c>
      <c r="O17" s="597">
        <v>105300</v>
      </c>
      <c r="P17" s="579">
        <f>O17/O13</f>
        <v>2.8518091653912898E-2</v>
      </c>
    </row>
    <row r="18" spans="1:16" ht="15.75" customHeight="1">
      <c r="A18" s="6" t="s">
        <v>15</v>
      </c>
      <c r="B18" s="7"/>
      <c r="C18" s="7"/>
      <c r="D18" s="584">
        <f>D9-D13</f>
        <v>254.04687500000182</v>
      </c>
      <c r="E18" s="585">
        <f t="shared" ref="E18:I18" si="3">E9-E13</f>
        <v>4586.9250980000943</v>
      </c>
      <c r="F18" s="584">
        <f t="shared" si="3"/>
        <v>-46092.91272100003</v>
      </c>
      <c r="G18" s="584">
        <f t="shared" si="3"/>
        <v>29342.601062399801</v>
      </c>
      <c r="H18" s="584">
        <f t="shared" si="3"/>
        <v>6700.6325600000564</v>
      </c>
      <c r="I18" s="584">
        <f t="shared" si="3"/>
        <v>12174.5</v>
      </c>
      <c r="J18" s="144"/>
      <c r="K18" s="584">
        <f>K9-K13</f>
        <v>-5462.7540005999617</v>
      </c>
      <c r="L18" s="108"/>
      <c r="M18" s="586">
        <f>M9-M13</f>
        <v>6965.7928743995726</v>
      </c>
      <c r="N18" s="587"/>
      <c r="O18" s="586">
        <v>-10575.947800000198</v>
      </c>
      <c r="P18" s="144"/>
    </row>
    <row r="19" spans="1:16">
      <c r="E19" s="16"/>
      <c r="F19" s="19"/>
    </row>
    <row r="20" spans="1:16">
      <c r="D20" s="144"/>
      <c r="E20" s="16"/>
      <c r="F20" s="19"/>
    </row>
    <row r="21" spans="1:16">
      <c r="E21" s="16"/>
      <c r="F21" s="16"/>
    </row>
    <row r="22" spans="1:16">
      <c r="E22" s="16"/>
      <c r="F22" s="16"/>
    </row>
    <row r="23" spans="1:16">
      <c r="E23" s="16"/>
      <c r="F23" s="16"/>
    </row>
    <row r="24" spans="1:16">
      <c r="E24" s="16"/>
      <c r="F24" s="16"/>
    </row>
    <row r="25" spans="1:16">
      <c r="E25" s="16"/>
      <c r="F25" s="16"/>
    </row>
    <row r="26" spans="1:16">
      <c r="E26" s="16"/>
      <c r="F26" s="16"/>
    </row>
    <row r="27" spans="1:16">
      <c r="E27" s="16"/>
      <c r="F27" s="16"/>
    </row>
    <row r="28" spans="1:16">
      <c r="E28" s="16"/>
      <c r="F28" s="16"/>
    </row>
    <row r="29" spans="1:16">
      <c r="E29" s="16"/>
      <c r="F29" s="16"/>
    </row>
    <row r="30" spans="1:16">
      <c r="E30" s="16"/>
      <c r="F30" s="16"/>
    </row>
    <row r="31" spans="1:16">
      <c r="E31" s="16"/>
      <c r="F31" s="16"/>
    </row>
    <row r="32" spans="1:16">
      <c r="E32" s="16"/>
      <c r="F32" s="16"/>
    </row>
    <row r="33" spans="5:6">
      <c r="E33" s="16"/>
      <c r="F33" s="16"/>
    </row>
    <row r="34" spans="5:6">
      <c r="E34" s="16"/>
      <c r="F34" s="16"/>
    </row>
    <row r="35" spans="5:6">
      <c r="E35" s="16"/>
      <c r="F35" s="16"/>
    </row>
    <row r="36" spans="5:6">
      <c r="E36" s="16"/>
      <c r="F36" s="16"/>
    </row>
    <row r="37" spans="5:6">
      <c r="E37" s="16"/>
      <c r="F37" s="16"/>
    </row>
    <row r="38" spans="5:6">
      <c r="E38" s="16"/>
      <c r="F38" s="16"/>
    </row>
    <row r="39" spans="5:6">
      <c r="E39" s="16"/>
      <c r="F39" s="16"/>
    </row>
    <row r="40" spans="5:6">
      <c r="E40" s="16"/>
      <c r="F40" s="16"/>
    </row>
    <row r="41" spans="5:6">
      <c r="E41" s="16"/>
      <c r="F41" s="16"/>
    </row>
    <row r="42" spans="5:6">
      <c r="E42" s="16"/>
      <c r="F42" s="16"/>
    </row>
    <row r="43" spans="5:6">
      <c r="E43" s="16"/>
      <c r="F43" s="16"/>
    </row>
    <row r="44" spans="5:6">
      <c r="E44" s="16"/>
      <c r="F44" s="16"/>
    </row>
    <row r="45" spans="5:6">
      <c r="E45" s="16"/>
      <c r="F45" s="16"/>
    </row>
    <row r="46" spans="5:6">
      <c r="E46" s="16"/>
      <c r="F46" s="16"/>
    </row>
    <row r="47" spans="5:6">
      <c r="E47" s="16"/>
      <c r="F47" s="16"/>
    </row>
    <row r="48" spans="5:6">
      <c r="E48" s="16"/>
      <c r="F48" s="16"/>
    </row>
    <row r="49" spans="5:6">
      <c r="E49" s="16"/>
      <c r="F49" s="16"/>
    </row>
    <row r="50" spans="5:6">
      <c r="E50" s="16"/>
      <c r="F50" s="16"/>
    </row>
    <row r="51" spans="5:6">
      <c r="E51" s="16"/>
      <c r="F51" s="16"/>
    </row>
  </sheetData>
  <mergeCells count="1">
    <mergeCell ref="D6:I6"/>
  </mergeCells>
  <pageMargins left="0.7" right="0.7" top="0.75" bottom="0.75" header="0.3" footer="0.3"/>
  <pageSetup paperSize="9" scale="9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34"/>
  <sheetViews>
    <sheetView showGridLines="0" topLeftCell="C1" zoomScale="86" zoomScaleNormal="160" workbookViewId="0">
      <selection activeCell="H21" sqref="H21"/>
    </sheetView>
  </sheetViews>
  <sheetFormatPr baseColWidth="10" defaultColWidth="9" defaultRowHeight="18" outlineLevelRow="2"/>
  <cols>
    <col min="1" max="1" width="3.19921875" style="15" customWidth="1"/>
    <col min="2" max="2" width="3.19921875" style="3" customWidth="1"/>
    <col min="3" max="3" width="26" style="5" customWidth="1"/>
    <col min="4" max="4" width="17" style="549" customWidth="1"/>
    <col min="5" max="5" width="16.796875" style="549" customWidth="1"/>
    <col min="6" max="6" width="16.59765625" style="549" customWidth="1"/>
    <col min="7" max="7" width="17.796875" style="547" customWidth="1"/>
    <col min="8" max="8" width="15.796875" style="548" customWidth="1"/>
    <col min="9" max="9" width="17.3984375" style="548" customWidth="1"/>
    <col min="10" max="10" width="3" customWidth="1"/>
    <col min="11" max="11" width="15.3984375" style="5" hidden="1" customWidth="1"/>
    <col min="12" max="12" width="5.19921875" style="105" hidden="1" customWidth="1"/>
    <col min="13" max="13" width="19.19921875" style="26" customWidth="1"/>
    <col min="14" max="14" width="7.59765625" style="105" customWidth="1"/>
    <col min="15" max="15" width="15.796875" style="19" customWidth="1"/>
    <col min="16" max="16" width="4.796875" style="105" customWidth="1"/>
    <col min="17" max="17" width="15.796875" style="5" customWidth="1"/>
    <col min="18" max="18" width="9" style="5"/>
    <col min="19" max="19" width="9.3984375" style="5" bestFit="1" customWidth="1"/>
    <col min="20" max="16384" width="9" style="5"/>
  </cols>
  <sheetData>
    <row r="1" spans="1:17">
      <c r="C1" s="18" t="s">
        <v>0</v>
      </c>
      <c r="D1" s="546"/>
      <c r="E1" s="546"/>
      <c r="F1" s="546"/>
    </row>
    <row r="2" spans="1:17">
      <c r="C2" s="17" t="s">
        <v>1</v>
      </c>
      <c r="D2" s="546"/>
      <c r="E2" s="546"/>
      <c r="F2" s="546"/>
    </row>
    <row r="3" spans="1:17">
      <c r="C3" s="18"/>
      <c r="D3" s="546"/>
      <c r="E3" s="546"/>
      <c r="F3" s="546"/>
    </row>
    <row r="4" spans="1:17">
      <c r="C4" s="18"/>
      <c r="D4" s="546" t="s">
        <v>239</v>
      </c>
      <c r="E4" s="546"/>
      <c r="F4" s="546"/>
    </row>
    <row r="5" spans="1:17">
      <c r="C5" s="18"/>
      <c r="D5" s="546"/>
      <c r="E5" s="546"/>
      <c r="F5" s="546"/>
    </row>
    <row r="6" spans="1:17" ht="25" customHeight="1">
      <c r="D6" s="2">
        <v>2026</v>
      </c>
      <c r="E6" s="1"/>
      <c r="F6" s="1"/>
      <c r="G6" s="1"/>
      <c r="H6" s="1"/>
      <c r="I6" s="670"/>
      <c r="J6" s="5"/>
      <c r="K6" s="27">
        <v>2018</v>
      </c>
      <c r="L6" s="106"/>
      <c r="M6" s="593">
        <v>2026</v>
      </c>
      <c r="N6" s="106"/>
      <c r="O6" s="27">
        <v>2025</v>
      </c>
      <c r="Q6" s="267" t="s">
        <v>233</v>
      </c>
    </row>
    <row r="7" spans="1:17" s="29" customFormat="1" ht="24" customHeight="1">
      <c r="B7" s="30"/>
      <c r="D7" s="31" t="s">
        <v>16</v>
      </c>
      <c r="E7" s="28" t="s">
        <v>17</v>
      </c>
      <c r="F7" s="28" t="s">
        <v>18</v>
      </c>
      <c r="G7" s="31" t="s">
        <v>19</v>
      </c>
      <c r="H7" s="28" t="s">
        <v>20</v>
      </c>
      <c r="I7" s="28" t="s">
        <v>21</v>
      </c>
      <c r="K7" s="28" t="s">
        <v>4</v>
      </c>
      <c r="L7" s="107"/>
      <c r="M7" s="117" t="s">
        <v>5</v>
      </c>
      <c r="N7" s="107"/>
      <c r="O7" s="28" t="s">
        <v>5</v>
      </c>
      <c r="P7" s="107"/>
    </row>
    <row r="8" spans="1:17">
      <c r="E8" s="547"/>
      <c r="F8" s="548"/>
    </row>
    <row r="9" spans="1:17" s="521" customFormat="1" ht="15.75" customHeight="1">
      <c r="A9" s="443" t="s">
        <v>15</v>
      </c>
      <c r="B9" s="613"/>
      <c r="C9" s="613"/>
      <c r="D9" s="614">
        <f t="shared" ref="D9:H9" si="0">D10-D46</f>
        <v>254.04687500000182</v>
      </c>
      <c r="E9" s="615">
        <f t="shared" si="0"/>
        <v>4586.9250980000943</v>
      </c>
      <c r="F9" s="614">
        <f t="shared" si="0"/>
        <v>-46092.91272100003</v>
      </c>
      <c r="G9" s="614">
        <f t="shared" si="0"/>
        <v>29342.601062399801</v>
      </c>
      <c r="H9" s="632">
        <f t="shared" si="0"/>
        <v>6700.6325600000564</v>
      </c>
      <c r="I9" s="614">
        <f>'ARCO IRIS'!D8</f>
        <v>12174.5</v>
      </c>
      <c r="J9" s="616"/>
      <c r="K9" s="617">
        <f>K10-K46</f>
        <v>-5462.7540005999617</v>
      </c>
      <c r="L9" s="618"/>
      <c r="M9" s="657">
        <f>M10-M46</f>
        <v>6965.7928743995726</v>
      </c>
      <c r="N9" s="619"/>
      <c r="O9" s="653">
        <v>-10575.947800000198</v>
      </c>
      <c r="P9" s="620"/>
      <c r="Q9" s="452">
        <f>'ASA SEDE'!I6+'LAPI NORTE'!J6+'LAPI CENTRO'!L6+'LAPI SUL'!K7+'LAPI MADEIRA'!L6+'ARCO IRIS'!I8</f>
        <v>262812.8674999997</v>
      </c>
    </row>
    <row r="10" spans="1:17" s="385" customFormat="1" ht="28.5" customHeight="1">
      <c r="A10" s="613" t="s">
        <v>6</v>
      </c>
      <c r="B10" s="613"/>
      <c r="C10" s="613"/>
      <c r="D10" s="621">
        <f>'ASA SEDE'!K7</f>
        <v>15434.046875000002</v>
      </c>
      <c r="E10" s="622">
        <f>'LAPI NORTE'!L7</f>
        <v>998444.72560000012</v>
      </c>
      <c r="F10" s="621">
        <f>'LAPI CENTRO'!N7</f>
        <v>431984.78159999999</v>
      </c>
      <c r="G10" s="621">
        <f>'LAPI SUL'!M8</f>
        <v>1433713.7439999999</v>
      </c>
      <c r="H10" s="633">
        <f>'LAPI MADEIRA'!N7</f>
        <v>546122.82195000001</v>
      </c>
      <c r="I10" s="621">
        <f>'ARCO IRIS'!D9</f>
        <v>419200</v>
      </c>
      <c r="J10" s="623"/>
      <c r="K10" s="624">
        <f>G10+E10+H10+F10</f>
        <v>3410266.0731500001</v>
      </c>
      <c r="L10" s="625"/>
      <c r="M10" s="658">
        <f>SUM(D10:I10)</f>
        <v>3844900.1200249996</v>
      </c>
      <c r="N10" s="625"/>
      <c r="O10" s="654">
        <v>3681816.9822</v>
      </c>
      <c r="P10" s="625"/>
      <c r="Q10" s="452">
        <f>'ASA SEDE'!I7+'LAPI NORTE'!J7+'LAPI CENTRO'!L7+'LAPI SUL'!K8+'LAPI MADEIRA'!L7+'ARCO IRIS'!I9</f>
        <v>3730320.3574999995</v>
      </c>
    </row>
    <row r="11" spans="1:17" s="9" customFormat="1" ht="14.25" customHeight="1" outlineLevel="1">
      <c r="A11" s="20"/>
      <c r="B11" s="25" t="s">
        <v>7</v>
      </c>
      <c r="C11" s="20"/>
      <c r="D11" s="550">
        <f>SUM(D12:D26)</f>
        <v>5867.4228750000002</v>
      </c>
      <c r="E11" s="550">
        <f>SUM(E12:E26)</f>
        <v>952441.84560000012</v>
      </c>
      <c r="F11" s="550">
        <f t="shared" ref="F11:H11" si="1">SUM(F12:F26)</f>
        <v>214061.1825</v>
      </c>
      <c r="G11" s="550">
        <f>SUM(G12:G26)</f>
        <v>872662.31400000013</v>
      </c>
      <c r="H11" s="634">
        <f t="shared" si="1"/>
        <v>258103.05485000001</v>
      </c>
      <c r="I11" s="550">
        <f>SUM(I12:I27)</f>
        <v>109200</v>
      </c>
      <c r="J11" s="32"/>
      <c r="K11" s="33">
        <f>G11+E11+H11+F11</f>
        <v>2297268.3969500004</v>
      </c>
      <c r="L11" s="109">
        <f>K11/K10</f>
        <v>0.67363318511627335</v>
      </c>
      <c r="M11" s="659">
        <f t="shared" ref="M11:M74" si="2">SUM(D11:I11)</f>
        <v>2412335.8198250001</v>
      </c>
      <c r="N11" s="109">
        <f>M11/M10</f>
        <v>0.62741182983169796</v>
      </c>
      <c r="O11" s="649">
        <v>2295536.3459999999</v>
      </c>
      <c r="P11" s="114">
        <f>O11/O10</f>
        <v>0.62347921069893752</v>
      </c>
      <c r="Q11" s="228">
        <f>'ASA SEDE'!I8+'LAPI NORTE'!J8+'LAPI CENTRO'!L8+'LAPI SUL'!K9+'LAPI MADEIRA'!L8+'ARCO IRIS'!I10</f>
        <v>2265372.4474999998</v>
      </c>
    </row>
    <row r="12" spans="1:17" s="9" customFormat="1" ht="13" customHeight="1" outlineLevel="1">
      <c r="A12" s="20"/>
      <c r="B12" s="25"/>
      <c r="C12" s="22" t="s">
        <v>22</v>
      </c>
      <c r="D12" s="560">
        <f>'ASA SEDE'!K11</f>
        <v>5867.4228750000002</v>
      </c>
      <c r="E12" s="553"/>
      <c r="F12" s="550"/>
      <c r="G12" s="550"/>
      <c r="H12" s="635"/>
      <c r="I12" s="550"/>
      <c r="J12" s="32"/>
      <c r="K12" s="33"/>
      <c r="L12" s="109"/>
      <c r="M12" s="660">
        <f t="shared" si="2"/>
        <v>5867.4228750000002</v>
      </c>
      <c r="N12" s="109"/>
      <c r="O12" s="650">
        <v>6934.6620000000012</v>
      </c>
      <c r="P12" s="109"/>
      <c r="Q12" s="128"/>
    </row>
    <row r="13" spans="1:17" s="11" customFormat="1" ht="11" customHeight="1" outlineLevel="2">
      <c r="A13" s="22"/>
      <c r="B13" s="23"/>
      <c r="C13" s="22" t="s">
        <v>23</v>
      </c>
      <c r="D13" s="561"/>
      <c r="E13" s="552">
        <f>'LAPI NORTE'!L9</f>
        <v>954007.1736000001</v>
      </c>
      <c r="F13" s="552"/>
      <c r="G13" s="562">
        <f>'LAPI SUL'!M10</f>
        <v>875464.78200000012</v>
      </c>
      <c r="H13" s="631">
        <f>'LAPI MADEIRA'!N9</f>
        <v>222906.92985000001</v>
      </c>
      <c r="I13" s="562"/>
      <c r="J13" s="34"/>
      <c r="K13" s="33">
        <f>G13+E13+H13+F13</f>
        <v>2052378.8854500002</v>
      </c>
      <c r="L13" s="109"/>
      <c r="M13" s="660">
        <f t="shared" si="2"/>
        <v>2052378.8854500002</v>
      </c>
      <c r="N13" s="109"/>
      <c r="O13" s="650">
        <v>1969078.9347999999</v>
      </c>
      <c r="P13" s="109"/>
      <c r="Q13" s="128"/>
    </row>
    <row r="14" spans="1:17" s="11" customFormat="1" ht="10.5" customHeight="1" outlineLevel="2">
      <c r="A14" s="22"/>
      <c r="B14" s="23"/>
      <c r="C14" s="22" t="s">
        <v>24</v>
      </c>
      <c r="D14" s="561"/>
      <c r="E14" s="552"/>
      <c r="F14" s="562"/>
      <c r="G14" s="562"/>
      <c r="H14" s="631"/>
      <c r="I14" s="562">
        <f>'ARCO IRIS'!D11</f>
        <v>85000</v>
      </c>
      <c r="J14" s="34"/>
      <c r="K14" s="33">
        <f>G14+E14+H14+F14</f>
        <v>0</v>
      </c>
      <c r="L14" s="109"/>
      <c r="M14" s="660">
        <f t="shared" si="2"/>
        <v>85000</v>
      </c>
      <c r="N14" s="109"/>
      <c r="O14" s="650">
        <v>85000</v>
      </c>
      <c r="P14" s="109"/>
      <c r="Q14" s="128"/>
    </row>
    <row r="15" spans="1:17" s="11" customFormat="1" ht="10.5" customHeight="1" outlineLevel="2">
      <c r="A15" s="22"/>
      <c r="B15" s="23"/>
      <c r="C15" s="22" t="s">
        <v>25</v>
      </c>
      <c r="D15" s="561"/>
      <c r="E15" s="552"/>
      <c r="F15" s="562"/>
      <c r="G15" s="562"/>
      <c r="H15" s="631"/>
      <c r="I15" s="562">
        <f>'ARCO IRIS'!D12</f>
        <v>0</v>
      </c>
      <c r="J15" s="34"/>
      <c r="K15" s="33">
        <f>G15+E15+H15+F15</f>
        <v>0</v>
      </c>
      <c r="L15" s="109"/>
      <c r="M15" s="660">
        <f t="shared" si="2"/>
        <v>0</v>
      </c>
      <c r="N15" s="109"/>
      <c r="O15" s="650">
        <v>0</v>
      </c>
      <c r="P15" s="109"/>
      <c r="Q15" s="128"/>
    </row>
    <row r="16" spans="1:17" s="11" customFormat="1" ht="10.5" customHeight="1" outlineLevel="2">
      <c r="A16" s="22"/>
      <c r="B16" s="23"/>
      <c r="C16" s="22" t="s">
        <v>61</v>
      </c>
      <c r="D16" s="561"/>
      <c r="E16" s="552"/>
      <c r="F16" s="562"/>
      <c r="G16" s="562"/>
      <c r="H16" s="631"/>
      <c r="I16" s="562">
        <f>'ARCO IRIS'!D13</f>
        <v>5000</v>
      </c>
      <c r="J16" s="34"/>
      <c r="K16" s="33"/>
      <c r="L16" s="109"/>
      <c r="M16" s="660">
        <f t="shared" si="2"/>
        <v>5000</v>
      </c>
      <c r="N16" s="109"/>
      <c r="O16" s="650">
        <v>0</v>
      </c>
      <c r="P16" s="109"/>
      <c r="Q16" s="128"/>
    </row>
    <row r="17" spans="1:19" s="11" customFormat="1" ht="12" customHeight="1" outlineLevel="2">
      <c r="A17" s="22"/>
      <c r="B17" s="23"/>
      <c r="C17" s="22" t="s">
        <v>26</v>
      </c>
      <c r="D17" s="561"/>
      <c r="E17" s="552"/>
      <c r="F17" s="562">
        <f>'LAPI CENTRO'!N9</f>
        <v>144226.5</v>
      </c>
      <c r="G17" s="562">
        <f>'LAPI SUL'!M14</f>
        <v>6197.5320000000002</v>
      </c>
      <c r="H17" s="631"/>
      <c r="I17" s="562"/>
      <c r="J17" s="34"/>
      <c r="K17" s="33">
        <f>G17+E17+H17+F17</f>
        <v>150424.03200000001</v>
      </c>
      <c r="L17" s="109"/>
      <c r="M17" s="660">
        <f t="shared" si="2"/>
        <v>150424.03200000001</v>
      </c>
      <c r="N17" s="109"/>
      <c r="O17" s="650">
        <v>121960.60800000001</v>
      </c>
      <c r="P17" s="109"/>
      <c r="Q17" s="128"/>
    </row>
    <row r="18" spans="1:19" s="11" customFormat="1" ht="11.25" customHeight="1" outlineLevel="2">
      <c r="A18" s="22"/>
      <c r="B18" s="23"/>
      <c r="C18" s="22" t="s">
        <v>27</v>
      </c>
      <c r="D18" s="561"/>
      <c r="E18" s="552"/>
      <c r="F18" s="562">
        <f>'LAPI CENTRO'!N10</f>
        <v>69834.68250000001</v>
      </c>
      <c r="G18" s="562"/>
      <c r="H18" s="631">
        <f>'LAPI MADEIRA'!N15</f>
        <v>25696.125</v>
      </c>
      <c r="I18" s="562"/>
      <c r="J18" s="34"/>
      <c r="K18" s="33">
        <f>G18+E18+H18+F18</f>
        <v>95530.80750000001</v>
      </c>
      <c r="L18" s="109"/>
      <c r="M18" s="660">
        <f t="shared" si="2"/>
        <v>95530.80750000001</v>
      </c>
      <c r="N18" s="109"/>
      <c r="O18" s="650">
        <v>90662.141199999998</v>
      </c>
      <c r="P18" s="109"/>
      <c r="Q18" s="128"/>
    </row>
    <row r="19" spans="1:19" s="11" customFormat="1" ht="11.25" customHeight="1" outlineLevel="2">
      <c r="A19" s="22"/>
      <c r="B19" s="23"/>
      <c r="C19" s="22" t="s">
        <v>28</v>
      </c>
      <c r="D19" s="561"/>
      <c r="E19" s="552"/>
      <c r="F19" s="564"/>
      <c r="G19" s="562">
        <v>0</v>
      </c>
      <c r="H19" s="631"/>
      <c r="I19" s="562">
        <f>'ARCO IRIS'!D16</f>
        <v>4200</v>
      </c>
      <c r="J19" s="34"/>
      <c r="K19" s="33">
        <f>G19+E19+H19+F21</f>
        <v>0</v>
      </c>
      <c r="L19" s="109"/>
      <c r="M19" s="660">
        <f t="shared" si="2"/>
        <v>4200</v>
      </c>
      <c r="N19" s="109"/>
      <c r="O19" s="650">
        <v>4200</v>
      </c>
      <c r="P19" s="109"/>
      <c r="Q19" s="128"/>
    </row>
    <row r="20" spans="1:19" s="11" customFormat="1" ht="12.75" customHeight="1" outlineLevel="2">
      <c r="A20" s="22"/>
      <c r="B20" s="23"/>
      <c r="C20" s="22" t="s">
        <v>29</v>
      </c>
      <c r="D20" s="561"/>
      <c r="E20" s="552">
        <f>'LAPI NORTE'!L13</f>
        <v>15000</v>
      </c>
      <c r="F20" s="562">
        <v>0</v>
      </c>
      <c r="G20" s="562">
        <f>'LAPI SUL'!M13</f>
        <v>7000</v>
      </c>
      <c r="H20" s="631">
        <f>'LAPI MADEIRA'!N13</f>
        <v>5000</v>
      </c>
      <c r="I20" s="562"/>
      <c r="J20" s="34"/>
      <c r="K20" s="33">
        <f>G20+E20+H20+F20</f>
        <v>27000</v>
      </c>
      <c r="L20" s="109"/>
      <c r="M20" s="660">
        <f t="shared" si="2"/>
        <v>27000</v>
      </c>
      <c r="N20" s="109"/>
      <c r="O20" s="650">
        <v>31500</v>
      </c>
      <c r="P20" s="109"/>
      <c r="Q20" s="128"/>
    </row>
    <row r="21" spans="1:19" s="11" customFormat="1" ht="12.75" customHeight="1" outlineLevel="2">
      <c r="A21" s="22"/>
      <c r="B21" s="23"/>
      <c r="C21" s="22" t="s">
        <v>30</v>
      </c>
      <c r="D21" s="561"/>
      <c r="E21" s="552">
        <f>'LAPI NORTE'!L14</f>
        <v>-12000</v>
      </c>
      <c r="F21" s="562">
        <f>'LAPI CENTRO'!N11</f>
        <v>0</v>
      </c>
      <c r="G21" s="562">
        <f>'LAPI SUL'!M15</f>
        <v>-35000</v>
      </c>
      <c r="H21" s="631">
        <f>+'LAPI MADEIRA'!N16</f>
        <v>-3500</v>
      </c>
      <c r="I21" s="612"/>
      <c r="J21" s="34"/>
      <c r="K21" s="33"/>
      <c r="L21" s="109"/>
      <c r="M21" s="660">
        <f t="shared" si="2"/>
        <v>-50500</v>
      </c>
      <c r="N21" s="109"/>
      <c r="O21" s="650">
        <v>-46600</v>
      </c>
      <c r="P21" s="109"/>
      <c r="Q21" s="128"/>
    </row>
    <row r="22" spans="1:19" s="11" customFormat="1" ht="12.75" customHeight="1" outlineLevel="2">
      <c r="A22" s="22"/>
      <c r="B22" s="23"/>
      <c r="C22" s="5" t="s">
        <v>213</v>
      </c>
      <c r="D22" s="561"/>
      <c r="E22" s="552">
        <f>'LAPI NORTE'!L15</f>
        <v>-42000</v>
      </c>
      <c r="F22" s="562"/>
      <c r="G22" s="562">
        <f>'LAPI SUL'!M16</f>
        <v>-18000</v>
      </c>
      <c r="H22" s="631"/>
      <c r="I22" s="562"/>
      <c r="J22" s="34"/>
      <c r="K22" s="33"/>
      <c r="L22" s="109"/>
      <c r="M22" s="660">
        <f t="shared" si="2"/>
        <v>-60000</v>
      </c>
      <c r="N22" s="109"/>
      <c r="O22" s="650">
        <v>-58000</v>
      </c>
      <c r="P22" s="109"/>
      <c r="Q22" s="128"/>
    </row>
    <row r="23" spans="1:19" s="11" customFormat="1" ht="12.75" customHeight="1" outlineLevel="2">
      <c r="A23" s="22"/>
      <c r="B23" s="23"/>
      <c r="C23" s="22" t="s">
        <v>31</v>
      </c>
      <c r="D23" s="561"/>
      <c r="E23" s="552"/>
      <c r="F23" s="562"/>
      <c r="G23" s="562">
        <v>0</v>
      </c>
      <c r="H23" s="631">
        <v>0</v>
      </c>
      <c r="I23" s="562"/>
      <c r="J23" s="34"/>
      <c r="K23" s="33"/>
      <c r="L23" s="109"/>
      <c r="M23" s="660">
        <f t="shared" si="2"/>
        <v>0</v>
      </c>
      <c r="N23" s="109"/>
      <c r="O23" s="650">
        <v>0</v>
      </c>
      <c r="P23" s="109"/>
      <c r="Q23" s="128"/>
    </row>
    <row r="24" spans="1:19" s="11" customFormat="1" ht="12.75" customHeight="1" outlineLevel="2">
      <c r="A24" s="22"/>
      <c r="B24" s="23"/>
      <c r="C24" s="22" t="s">
        <v>32</v>
      </c>
      <c r="D24" s="561"/>
      <c r="E24" s="564"/>
      <c r="F24" s="562"/>
      <c r="G24" s="562">
        <v>0</v>
      </c>
      <c r="H24" s="631"/>
      <c r="I24" s="562"/>
      <c r="J24" s="34"/>
      <c r="K24" s="33"/>
      <c r="L24" s="109"/>
      <c r="M24" s="660">
        <f t="shared" si="2"/>
        <v>0</v>
      </c>
      <c r="N24" s="109"/>
      <c r="O24" s="650">
        <v>12000</v>
      </c>
      <c r="P24" s="109"/>
      <c r="Q24" s="128"/>
      <c r="S24" s="211"/>
    </row>
    <row r="25" spans="1:19" s="11" customFormat="1" ht="12.75" customHeight="1" outlineLevel="2">
      <c r="A25" s="22"/>
      <c r="B25" s="23"/>
      <c r="C25" s="22" t="s">
        <v>33</v>
      </c>
      <c r="D25" s="561"/>
      <c r="E25" s="563">
        <f>'LAPI NORTE'!L10</f>
        <v>1434.6720000000003</v>
      </c>
      <c r="F25" s="562"/>
      <c r="G25" s="562">
        <f>'LAPI SUL'!M11</f>
        <v>7000</v>
      </c>
      <c r="H25" s="631"/>
      <c r="I25" s="562">
        <v>0</v>
      </c>
      <c r="J25" s="34"/>
      <c r="K25" s="33"/>
      <c r="L25" s="109"/>
      <c r="M25" s="660">
        <f t="shared" si="2"/>
        <v>8434.6720000000005</v>
      </c>
      <c r="N25" s="109"/>
      <c r="O25" s="650">
        <v>6000</v>
      </c>
      <c r="P25" s="109"/>
      <c r="Q25" s="128"/>
    </row>
    <row r="26" spans="1:19" s="11" customFormat="1" ht="12.75" customHeight="1" outlineLevel="2">
      <c r="A26" s="22"/>
      <c r="B26" s="23"/>
      <c r="C26" s="22" t="s">
        <v>34</v>
      </c>
      <c r="D26" s="561"/>
      <c r="E26" s="552">
        <f>'LAPI NORTE'!L11</f>
        <v>36000</v>
      </c>
      <c r="F26" s="562"/>
      <c r="G26" s="562">
        <f>'LAPI SUL'!M12</f>
        <v>30000</v>
      </c>
      <c r="H26" s="631">
        <f>'LAPI MADEIRA'!N11</f>
        <v>8000</v>
      </c>
      <c r="I26" s="562">
        <f>'ARCO IRIS'!D15</f>
        <v>11500</v>
      </c>
      <c r="J26" s="34"/>
      <c r="K26" s="33"/>
      <c r="L26" s="109"/>
      <c r="M26" s="660">
        <f t="shared" si="2"/>
        <v>85500</v>
      </c>
      <c r="N26" s="109"/>
      <c r="O26" s="650">
        <v>70000</v>
      </c>
      <c r="P26" s="109"/>
      <c r="Q26" s="226"/>
    </row>
    <row r="27" spans="1:19" s="11" customFormat="1" ht="12.75" customHeight="1" outlineLevel="2">
      <c r="A27" s="22"/>
      <c r="B27" s="23"/>
      <c r="C27" s="26" t="s">
        <v>174</v>
      </c>
      <c r="D27" s="561"/>
      <c r="E27" s="552"/>
      <c r="F27" s="562"/>
      <c r="G27" s="562"/>
      <c r="H27" s="631"/>
      <c r="I27" s="562">
        <f>'ARCO IRIS'!D17</f>
        <v>3500</v>
      </c>
      <c r="J27" s="34"/>
      <c r="K27" s="33"/>
      <c r="L27" s="109"/>
      <c r="M27" s="660">
        <f t="shared" si="2"/>
        <v>3500</v>
      </c>
      <c r="N27" s="109"/>
      <c r="O27" s="650">
        <v>2800</v>
      </c>
      <c r="P27" s="109"/>
      <c r="Q27" s="128"/>
    </row>
    <row r="28" spans="1:19" s="9" customFormat="1" ht="14.25" customHeight="1" outlineLevel="1">
      <c r="A28" s="20"/>
      <c r="B28" s="25" t="s">
        <v>8</v>
      </c>
      <c r="C28" s="25"/>
      <c r="D28" s="550">
        <f t="shared" ref="D28:I28" si="3">SUM(D29:D36)</f>
        <v>0</v>
      </c>
      <c r="E28" s="553">
        <f t="shared" si="3"/>
        <v>0</v>
      </c>
      <c r="F28" s="550">
        <f t="shared" si="3"/>
        <v>189923.59910000002</v>
      </c>
      <c r="G28" s="550">
        <f>SUM(G29:G36)</f>
        <v>545051.42999999993</v>
      </c>
      <c r="H28" s="634">
        <f t="shared" si="3"/>
        <v>239019.7671</v>
      </c>
      <c r="I28" s="550">
        <f t="shared" si="3"/>
        <v>310000</v>
      </c>
      <c r="J28" s="32"/>
      <c r="K28" s="33">
        <f>G28+E28+H28+F28</f>
        <v>973994.79619999998</v>
      </c>
      <c r="L28" s="109">
        <f>K28/K10</f>
        <v>0.28560668736921718</v>
      </c>
      <c r="M28" s="659">
        <f t="shared" si="2"/>
        <v>1283994.7962</v>
      </c>
      <c r="N28" s="109">
        <f>M28/M10</f>
        <v>0.33394750347680069</v>
      </c>
      <c r="O28" s="649">
        <v>1148480.6362000001</v>
      </c>
      <c r="P28" s="115">
        <f>O28/O10</f>
        <v>0.31193311393597495</v>
      </c>
      <c r="Q28" s="83">
        <f>'LAPI CENTRO'!L12+'LAPI SUL'!K17+'LAPI MADEIRA'!L17+'ARCO IRIS'!I18</f>
        <v>1260987.135</v>
      </c>
    </row>
    <row r="29" spans="1:19" s="11" customFormat="1" ht="11.25" customHeight="1" outlineLevel="2">
      <c r="A29" s="22"/>
      <c r="B29" s="23"/>
      <c r="C29" s="22" t="s">
        <v>35</v>
      </c>
      <c r="D29" s="561"/>
      <c r="E29" s="563"/>
      <c r="F29" s="562"/>
      <c r="G29" s="562">
        <f>'LAPI SUL'!M18</f>
        <v>502746.52499999997</v>
      </c>
      <c r="H29" s="631">
        <f>'LAPI MADEIRA'!N18</f>
        <v>201257.4087</v>
      </c>
      <c r="I29" s="562"/>
      <c r="J29" s="34"/>
      <c r="K29" s="33">
        <f>G29+E29+H29+F29</f>
        <v>704003.93369999994</v>
      </c>
      <c r="L29" s="109"/>
      <c r="M29" s="660">
        <f t="shared" si="2"/>
        <v>704003.93369999994</v>
      </c>
      <c r="N29" s="109"/>
      <c r="O29" s="650">
        <v>606669.37800000003</v>
      </c>
      <c r="P29" s="109"/>
      <c r="Q29" s="128"/>
    </row>
    <row r="30" spans="1:19" s="11" customFormat="1" ht="11.25" customHeight="1" outlineLevel="2">
      <c r="A30" s="22"/>
      <c r="B30" s="23"/>
      <c r="C30" s="22" t="s">
        <v>36</v>
      </c>
      <c r="D30" s="561"/>
      <c r="E30" s="563"/>
      <c r="F30" s="562">
        <f>'LAPI CENTRO'!N13</f>
        <v>186348.59910000002</v>
      </c>
      <c r="G30" s="562">
        <f>'LAPI SUL'!M19</f>
        <v>33766.154999999999</v>
      </c>
      <c r="H30" s="564"/>
      <c r="I30" s="562"/>
      <c r="J30" s="34"/>
      <c r="K30" s="33" t="e">
        <f>G30+E30+#REF!+F30</f>
        <v>#REF!</v>
      </c>
      <c r="L30" s="109"/>
      <c r="M30" s="660">
        <f t="shared" si="2"/>
        <v>220114.75410000002</v>
      </c>
      <c r="N30" s="109"/>
      <c r="O30" s="650">
        <v>216196.82320000001</v>
      </c>
      <c r="P30" s="109"/>
      <c r="Q30" s="128"/>
    </row>
    <row r="31" spans="1:19" s="11" customFormat="1" ht="11.25" customHeight="1" outlineLevel="2">
      <c r="A31" s="22"/>
      <c r="B31" s="23"/>
      <c r="C31" s="22" t="s">
        <v>37</v>
      </c>
      <c r="D31" s="561"/>
      <c r="E31" s="563"/>
      <c r="F31" s="562"/>
      <c r="G31" s="562"/>
      <c r="H31" s="631">
        <f>'LAPI MADEIRA'!N19</f>
        <v>37762.358399999997</v>
      </c>
      <c r="I31" s="562"/>
      <c r="J31" s="34"/>
      <c r="K31" s="33" t="e">
        <f>G31+E31+#REF!+F31</f>
        <v>#REF!</v>
      </c>
      <c r="L31" s="109"/>
      <c r="M31" s="660">
        <f t="shared" si="2"/>
        <v>37762.358399999997</v>
      </c>
      <c r="N31" s="109"/>
      <c r="O31" s="650">
        <v>22791.195000000003</v>
      </c>
      <c r="P31" s="109"/>
      <c r="Q31" s="128"/>
    </row>
    <row r="32" spans="1:19" s="11" customFormat="1" ht="11.25" customHeight="1" outlineLevel="2">
      <c r="A32" s="22"/>
      <c r="B32" s="23"/>
      <c r="C32" s="22" t="s">
        <v>38</v>
      </c>
      <c r="D32" s="561"/>
      <c r="E32" s="563"/>
      <c r="F32" s="562"/>
      <c r="G32" s="562"/>
      <c r="H32" s="631">
        <f>'LAPI MADEIRA'!N21</f>
        <v>0</v>
      </c>
      <c r="I32" s="562">
        <f>'ARCO IRIS'!D19</f>
        <v>120000</v>
      </c>
      <c r="J32" s="34"/>
      <c r="K32" s="33"/>
      <c r="L32" s="109"/>
      <c r="M32" s="660">
        <f t="shared" si="2"/>
        <v>120000</v>
      </c>
      <c r="N32" s="109"/>
      <c r="O32" s="650">
        <v>110800</v>
      </c>
      <c r="P32" s="109"/>
      <c r="Q32" s="128"/>
    </row>
    <row r="33" spans="1:17" s="11" customFormat="1" ht="11.25" customHeight="1" outlineLevel="2">
      <c r="A33" s="22"/>
      <c r="B33" s="23"/>
      <c r="C33" s="22" t="s">
        <v>39</v>
      </c>
      <c r="D33" s="561"/>
      <c r="E33" s="563"/>
      <c r="F33" s="562"/>
      <c r="G33" s="562"/>
      <c r="H33" s="631"/>
      <c r="I33" s="562">
        <f>'ARCO IRIS'!D20</f>
        <v>148000</v>
      </c>
      <c r="J33" s="34"/>
      <c r="K33" s="33"/>
      <c r="L33" s="109"/>
      <c r="M33" s="660">
        <f t="shared" si="2"/>
        <v>148000</v>
      </c>
      <c r="N33" s="109"/>
      <c r="O33" s="650">
        <v>125000</v>
      </c>
      <c r="P33" s="109"/>
      <c r="Q33" s="128"/>
    </row>
    <row r="34" spans="1:17" s="11" customFormat="1" ht="11.25" customHeight="1" outlineLevel="2">
      <c r="A34" s="22"/>
      <c r="B34" s="23"/>
      <c r="C34" s="22" t="s">
        <v>40</v>
      </c>
      <c r="D34" s="561"/>
      <c r="E34" s="563"/>
      <c r="F34" s="562"/>
      <c r="G34" s="562"/>
      <c r="H34" s="631"/>
      <c r="I34" s="562">
        <f>'ARCO IRIS'!D21</f>
        <v>42000</v>
      </c>
      <c r="J34" s="34"/>
      <c r="K34" s="33"/>
      <c r="L34" s="109"/>
      <c r="M34" s="660">
        <f t="shared" si="2"/>
        <v>42000</v>
      </c>
      <c r="N34" s="109"/>
      <c r="O34" s="650">
        <v>52000</v>
      </c>
      <c r="P34" s="109"/>
      <c r="Q34" s="128"/>
    </row>
    <row r="35" spans="1:17" s="11" customFormat="1" ht="11.25" customHeight="1" outlineLevel="2">
      <c r="A35" s="22"/>
      <c r="B35" s="23"/>
      <c r="C35" s="22" t="s">
        <v>41</v>
      </c>
      <c r="D35" s="561"/>
      <c r="E35" s="563"/>
      <c r="F35" s="562"/>
      <c r="G35" s="562">
        <f>'LAPI SUL'!M20</f>
        <v>8538.75</v>
      </c>
      <c r="H35" s="631"/>
      <c r="I35" s="562"/>
      <c r="J35" s="34"/>
      <c r="K35" s="33">
        <f>G35+E35+H35+F35</f>
        <v>8538.75</v>
      </c>
      <c r="L35" s="109"/>
      <c r="M35" s="660">
        <f t="shared" si="2"/>
        <v>8538.75</v>
      </c>
      <c r="N35" s="109"/>
      <c r="O35" s="650">
        <v>11160</v>
      </c>
      <c r="P35" s="109"/>
      <c r="Q35" s="128"/>
    </row>
    <row r="36" spans="1:17" s="11" customFormat="1" ht="11.25" customHeight="1" outlineLevel="2">
      <c r="A36" s="22"/>
      <c r="B36" s="23"/>
      <c r="C36" s="22" t="s">
        <v>42</v>
      </c>
      <c r="D36" s="561"/>
      <c r="E36" s="563">
        <f>'LAPI NORTE'!D20</f>
        <v>0</v>
      </c>
      <c r="F36" s="562">
        <f>'LAPI CENTRO'!N14</f>
        <v>3575</v>
      </c>
      <c r="G36" s="562">
        <f>'LAPI SUL'!D22</f>
        <v>0</v>
      </c>
      <c r="H36" s="631"/>
      <c r="I36" s="562"/>
      <c r="J36" s="34"/>
      <c r="K36" s="33">
        <f>G36+E36+H36+F36</f>
        <v>3575</v>
      </c>
      <c r="L36" s="109"/>
      <c r="M36" s="660">
        <f t="shared" si="2"/>
        <v>3575</v>
      </c>
      <c r="N36" s="109"/>
      <c r="O36" s="650">
        <v>3863.24</v>
      </c>
      <c r="P36" s="109"/>
      <c r="Q36" s="128"/>
    </row>
    <row r="37" spans="1:17" s="10" customFormat="1" ht="11.25" customHeight="1" outlineLevel="2">
      <c r="A37" s="23"/>
      <c r="B37" s="25" t="s">
        <v>43</v>
      </c>
      <c r="C37" s="23"/>
      <c r="D37" s="565"/>
      <c r="E37" s="566">
        <f>E38</f>
        <v>11002.880000000001</v>
      </c>
      <c r="F37" s="567"/>
      <c r="G37" s="567"/>
      <c r="H37" s="636">
        <f>H38</f>
        <v>0</v>
      </c>
      <c r="I37" s="567"/>
      <c r="J37" s="135"/>
      <c r="K37" s="33"/>
      <c r="L37" s="136"/>
      <c r="M37" s="659">
        <f t="shared" si="2"/>
        <v>11002.880000000001</v>
      </c>
      <c r="N37" s="136">
        <f>M37/M10</f>
        <v>2.8616816189046962E-3</v>
      </c>
      <c r="O37" s="649"/>
      <c r="P37" s="136"/>
      <c r="Q37" s="651">
        <f>'LAPI NORTE'!J22+'LAPI MADEIRA'!L28</f>
        <v>5700</v>
      </c>
    </row>
    <row r="38" spans="1:17" s="11" customFormat="1" ht="11.25" customHeight="1" outlineLevel="2">
      <c r="A38" s="22"/>
      <c r="B38" s="23"/>
      <c r="C38" s="22" t="s">
        <v>44</v>
      </c>
      <c r="D38" s="561"/>
      <c r="E38" s="552">
        <f>'LAPI NORTE'!L23</f>
        <v>11002.880000000001</v>
      </c>
      <c r="F38" s="562"/>
      <c r="G38" s="562"/>
      <c r="H38" s="631">
        <f>'LAPI MADEIRA'!N29</f>
        <v>0</v>
      </c>
      <c r="I38" s="562"/>
      <c r="J38" s="34"/>
      <c r="K38" s="33"/>
      <c r="L38" s="109"/>
      <c r="M38" s="660">
        <f t="shared" si="2"/>
        <v>11002.880000000001</v>
      </c>
      <c r="N38" s="109"/>
      <c r="O38" s="649"/>
      <c r="P38" s="109"/>
      <c r="Q38" s="128"/>
    </row>
    <row r="39" spans="1:17" s="9" customFormat="1" ht="14.25" customHeight="1" outlineLevel="1">
      <c r="A39" s="20"/>
      <c r="B39" s="25" t="s">
        <v>45</v>
      </c>
      <c r="C39" s="20"/>
      <c r="D39" s="550">
        <f t="shared" ref="D39:I39" si="4">SUM(D40:D42)</f>
        <v>9566.6240000000016</v>
      </c>
      <c r="E39" s="553">
        <f t="shared" si="4"/>
        <v>35000</v>
      </c>
      <c r="F39" s="550">
        <f t="shared" si="4"/>
        <v>28000</v>
      </c>
      <c r="G39" s="550">
        <f t="shared" si="4"/>
        <v>15200</v>
      </c>
      <c r="H39" s="634">
        <f t="shared" si="4"/>
        <v>49000</v>
      </c>
      <c r="I39" s="550">
        <f t="shared" si="4"/>
        <v>0</v>
      </c>
      <c r="J39" s="32"/>
      <c r="K39" s="33">
        <f>G39+E39+H39+F39</f>
        <v>127200</v>
      </c>
      <c r="L39" s="109">
        <f>K39/K10</f>
        <v>3.7299142433923842E-2</v>
      </c>
      <c r="M39" s="659">
        <f t="shared" si="2"/>
        <v>136766.62400000001</v>
      </c>
      <c r="N39" s="109">
        <f>M39/M10</f>
        <v>3.5570917248979345E-2</v>
      </c>
      <c r="O39" s="649">
        <v>152600</v>
      </c>
      <c r="P39" s="109">
        <f>O39/O10</f>
        <v>4.1446927084576798E-2</v>
      </c>
      <c r="Q39" s="83">
        <f>'ASA SEDE'!I25+'LAPI NORTE'!J24+'LAPI NORTE'!J27+'LAPI CENTRO'!L15+'LAPI SUL'!K21+'LAPI SUL'!K27+'LAPI MADEIRA'!L22</f>
        <v>191924.08499999999</v>
      </c>
    </row>
    <row r="40" spans="1:17" s="11" customFormat="1" ht="11.25" customHeight="1" outlineLevel="2">
      <c r="A40" s="22"/>
      <c r="B40" s="23"/>
      <c r="C40" s="11" t="s">
        <v>46</v>
      </c>
      <c r="D40" s="561">
        <f>'ASA SEDE'!D26</f>
        <v>0</v>
      </c>
      <c r="E40" s="552">
        <f>'LAPI NORTE'!L25+'LAPI NORTE'!L26</f>
        <v>35000</v>
      </c>
      <c r="F40" s="562">
        <f>'LAPI CENTRO'!N16+'LAPI CENTRO'!N17</f>
        <v>28000</v>
      </c>
      <c r="G40" s="562">
        <f>'LAPI SUL'!M23+'LAPI SUL'!M24</f>
        <v>12000</v>
      </c>
      <c r="H40" s="631">
        <f>'LAPI MADEIRA'!N26+'LAPI MADEIRA'!N25</f>
        <v>49000</v>
      </c>
      <c r="I40" s="562">
        <f>'ARCO IRIS'!D25</f>
        <v>0</v>
      </c>
      <c r="J40" s="34"/>
      <c r="K40" s="33">
        <f>G40+E40+H40+F40</f>
        <v>124000</v>
      </c>
      <c r="L40" s="109"/>
      <c r="M40" s="660">
        <f t="shared" si="2"/>
        <v>124000</v>
      </c>
      <c r="N40" s="109"/>
      <c r="O40" s="650">
        <v>150500</v>
      </c>
      <c r="P40" s="109"/>
      <c r="Q40" s="128"/>
    </row>
    <row r="41" spans="1:17" s="11" customFormat="1" ht="11.25" customHeight="1" outlineLevel="2">
      <c r="A41" s="22"/>
      <c r="B41" s="23"/>
      <c r="C41" s="11" t="s">
        <v>47</v>
      </c>
      <c r="D41" s="561"/>
      <c r="E41" s="552">
        <f>'LAPI NORTE'!DL28</f>
        <v>0</v>
      </c>
      <c r="F41" s="562"/>
      <c r="G41" s="562">
        <f>'LAPI SUL'!M28</f>
        <v>700</v>
      </c>
      <c r="H41" s="631"/>
      <c r="I41" s="562"/>
      <c r="J41" s="34"/>
      <c r="K41" s="33"/>
      <c r="L41" s="109"/>
      <c r="M41" s="660">
        <f t="shared" si="2"/>
        <v>700</v>
      </c>
      <c r="N41" s="109"/>
      <c r="O41" s="650">
        <v>1100</v>
      </c>
      <c r="P41" s="109"/>
      <c r="Q41" s="128"/>
    </row>
    <row r="42" spans="1:17" s="11" customFormat="1" ht="11.25" customHeight="1" outlineLevel="2">
      <c r="A42" s="22"/>
      <c r="B42" s="23"/>
      <c r="C42" s="11" t="s">
        <v>9</v>
      </c>
      <c r="D42" s="561">
        <f>'ASA SEDE'!K27</f>
        <v>9566.6240000000016</v>
      </c>
      <c r="E42" s="563"/>
      <c r="F42" s="562"/>
      <c r="G42" s="562">
        <f>'LAPI SUL'!M29</f>
        <v>2500</v>
      </c>
      <c r="H42" s="631"/>
      <c r="I42" s="562">
        <v>0</v>
      </c>
      <c r="J42" s="34"/>
      <c r="K42" s="33"/>
      <c r="L42" s="109"/>
      <c r="M42" s="660">
        <f t="shared" si="2"/>
        <v>12066.624000000002</v>
      </c>
      <c r="N42" s="109"/>
      <c r="O42" s="650">
        <v>1000</v>
      </c>
      <c r="P42" s="109"/>
      <c r="Q42" s="128"/>
    </row>
    <row r="43" spans="1:17" s="9" customFormat="1" ht="14.25" customHeight="1" outlineLevel="1">
      <c r="A43" s="20"/>
      <c r="B43" s="25" t="s">
        <v>48</v>
      </c>
      <c r="C43" s="20"/>
      <c r="D43" s="550">
        <f t="shared" ref="D43:I43" si="5">SUM(D44:D45)</f>
        <v>0</v>
      </c>
      <c r="E43" s="550">
        <f t="shared" si="5"/>
        <v>0</v>
      </c>
      <c r="F43" s="550">
        <f t="shared" si="5"/>
        <v>0</v>
      </c>
      <c r="G43" s="550">
        <f t="shared" si="5"/>
        <v>800</v>
      </c>
      <c r="H43" s="634">
        <f t="shared" si="5"/>
        <v>0</v>
      </c>
      <c r="I43" s="550">
        <f t="shared" si="5"/>
        <v>0</v>
      </c>
      <c r="J43" s="32"/>
      <c r="K43" s="33">
        <f>G43+E43+H43+F43</f>
        <v>800</v>
      </c>
      <c r="L43" s="109">
        <f>K43/K10</f>
        <v>2.3458580147121914E-4</v>
      </c>
      <c r="M43" s="659">
        <f t="shared" si="2"/>
        <v>800</v>
      </c>
      <c r="N43" s="109"/>
      <c r="O43" s="649">
        <v>200</v>
      </c>
      <c r="P43" s="109">
        <f>O43/O14</f>
        <v>2.352941176470588E-3</v>
      </c>
      <c r="Q43" s="83">
        <f>'LAPI NORTE'!J31+'LAPI CENTRO'!L19+'LAPI SUL'!K31+'ARCO IRIS'!I22</f>
        <v>1526.0550000000001</v>
      </c>
    </row>
    <row r="44" spans="1:17" s="11" customFormat="1" ht="11.25" customHeight="1" outlineLevel="2">
      <c r="B44" s="10"/>
      <c r="C44" s="11" t="s">
        <v>49</v>
      </c>
      <c r="D44" s="568"/>
      <c r="E44" s="552">
        <f>'LAPI NORTE'!D29</f>
        <v>0</v>
      </c>
      <c r="F44" s="551"/>
      <c r="G44" s="551">
        <f>'LAPI SUL'!M32</f>
        <v>800</v>
      </c>
      <c r="H44" s="637"/>
      <c r="I44" s="551"/>
      <c r="J44" s="34"/>
      <c r="K44" s="35">
        <f>G44+E44+H44+F44</f>
        <v>800</v>
      </c>
      <c r="L44" s="105"/>
      <c r="M44" s="660">
        <f t="shared" si="2"/>
        <v>800</v>
      </c>
      <c r="N44" s="105"/>
      <c r="O44" s="650">
        <v>0</v>
      </c>
      <c r="P44" s="109"/>
      <c r="Q44" s="26"/>
    </row>
    <row r="45" spans="1:17" s="11" customFormat="1" ht="11.25" customHeight="1" outlineLevel="2">
      <c r="B45" s="10"/>
      <c r="C45" s="11" t="s">
        <v>50</v>
      </c>
      <c r="D45" s="568"/>
      <c r="E45" s="552">
        <f>'LAPI NORTE'!D30</f>
        <v>0</v>
      </c>
      <c r="F45" s="551">
        <f>'LAPI CENTRO'!N21</f>
        <v>0</v>
      </c>
      <c r="G45" s="551">
        <f>'LAPI SUL'!M33</f>
        <v>0</v>
      </c>
      <c r="H45" s="637">
        <f>'LAPI MADEIRA'!N31</f>
        <v>0</v>
      </c>
      <c r="I45" s="551"/>
      <c r="J45" s="34"/>
      <c r="K45" s="35"/>
      <c r="L45" s="105"/>
      <c r="M45" s="660">
        <f t="shared" si="2"/>
        <v>0</v>
      </c>
      <c r="N45" s="105"/>
      <c r="O45" s="650">
        <v>200</v>
      </c>
      <c r="P45" s="109"/>
      <c r="Q45" s="205"/>
    </row>
    <row r="46" spans="1:17" s="443" customFormat="1" ht="28.5" customHeight="1">
      <c r="A46" s="443" t="s">
        <v>10</v>
      </c>
      <c r="D46" s="627">
        <f>'ASA SEDE'!K30</f>
        <v>15180</v>
      </c>
      <c r="E46" s="626">
        <f>'LAPI NORTE'!L34</f>
        <v>993857.80050200003</v>
      </c>
      <c r="F46" s="626">
        <f>'LAPI CENTRO'!N22</f>
        <v>478077.69432100002</v>
      </c>
      <c r="G46" s="626">
        <f>'LAPI SUL'!M34</f>
        <v>1404371.1429376001</v>
      </c>
      <c r="H46" s="638">
        <f>'LAPI MADEIRA'!N35</f>
        <v>539422.18938999996</v>
      </c>
      <c r="I46" s="627">
        <f>'ARCO IRIS'!D26</f>
        <v>407025.5</v>
      </c>
      <c r="J46" s="628"/>
      <c r="K46" s="624">
        <f>G46+E46+H46+F46</f>
        <v>3415728.8271506</v>
      </c>
      <c r="L46" s="629"/>
      <c r="M46" s="661">
        <f t="shared" si="2"/>
        <v>3837934.3271506</v>
      </c>
      <c r="N46" s="629"/>
      <c r="O46" s="654">
        <v>3692392.93</v>
      </c>
      <c r="P46" s="630"/>
      <c r="Q46" s="648">
        <f>'ASA SEDE'!I30+'LAPI NORTE'!J34+'LAPI CENTRO'!L22+'LAPI SUL'!K34+'LAPI MADEIRA'!L35+'ARCO IRIS'!I26</f>
        <v>3467507.49</v>
      </c>
    </row>
    <row r="47" spans="1:17" s="13" customFormat="1" ht="14.25" customHeight="1" outlineLevel="1">
      <c r="A47" s="21"/>
      <c r="B47" s="21" t="s">
        <v>11</v>
      </c>
      <c r="C47" s="21"/>
      <c r="D47" s="550">
        <f t="shared" ref="D47:I47" si="6">SUM(D48:D52)</f>
        <v>0</v>
      </c>
      <c r="E47" s="550">
        <f>SUM(E48:E52)</f>
        <v>176000</v>
      </c>
      <c r="F47" s="550">
        <f t="shared" si="6"/>
        <v>87000</v>
      </c>
      <c r="G47" s="550">
        <f t="shared" si="6"/>
        <v>193000</v>
      </c>
      <c r="H47" s="634">
        <f t="shared" si="6"/>
        <v>90000</v>
      </c>
      <c r="I47" s="550">
        <f t="shared" si="6"/>
        <v>8150</v>
      </c>
      <c r="J47" s="36"/>
      <c r="K47" s="33">
        <f>G47+E47+H47+F47</f>
        <v>546000</v>
      </c>
      <c r="L47" s="110">
        <f>K47/K46</f>
        <v>0.15984875487187694</v>
      </c>
      <c r="M47" s="659">
        <f t="shared" si="2"/>
        <v>554150</v>
      </c>
      <c r="N47" s="110">
        <f>M47/M46</f>
        <v>0.14438756705131481</v>
      </c>
      <c r="O47" s="649">
        <v>605000</v>
      </c>
      <c r="P47" s="115">
        <f>O47/O46</f>
        <v>0.16385038414641315</v>
      </c>
      <c r="Q47" s="83">
        <f>'LAPI NORTE'!J35+'LAPI CENTRO'!L23+'LAPI SUL'!K35+'LAPI MADEIRA'!L36+'ARCO IRIS'!I27</f>
        <v>544813.63500000001</v>
      </c>
    </row>
    <row r="48" spans="1:17" s="11" customFormat="1" ht="11.25" customHeight="1" outlineLevel="2">
      <c r="A48" s="22"/>
      <c r="B48" s="23"/>
      <c r="C48" s="22" t="s">
        <v>51</v>
      </c>
      <c r="D48" s="561"/>
      <c r="E48" s="552">
        <f>'LAPI NORTE'!L36</f>
        <v>120000</v>
      </c>
      <c r="F48" s="551">
        <f>'LAPI CENTRO'!N24</f>
        <v>83000</v>
      </c>
      <c r="G48" s="551">
        <f>'LAPI SUL'!M36</f>
        <v>128000</v>
      </c>
      <c r="H48" s="554">
        <f>'LAPI MADEIRA'!N37</f>
        <v>60000</v>
      </c>
      <c r="I48" s="562">
        <f>'ARCO IRIS'!D28</f>
        <v>6400</v>
      </c>
      <c r="J48" s="34"/>
      <c r="K48" s="33">
        <f>G48+E48+H48+F48</f>
        <v>391000</v>
      </c>
      <c r="L48" s="110"/>
      <c r="M48" s="660">
        <f t="shared" si="2"/>
        <v>397400</v>
      </c>
      <c r="N48" s="110"/>
      <c r="O48" s="650">
        <v>412700</v>
      </c>
      <c r="P48" s="109"/>
      <c r="Q48" s="128"/>
    </row>
    <row r="49" spans="1:17" s="11" customFormat="1" ht="11.25" customHeight="1" outlineLevel="2">
      <c r="A49" s="22"/>
      <c r="B49" s="23"/>
      <c r="C49" s="22" t="s">
        <v>52</v>
      </c>
      <c r="D49" s="561"/>
      <c r="E49" s="552">
        <f>'LAPI NORTE'!L37</f>
        <v>9000</v>
      </c>
      <c r="F49" s="551">
        <f>'LAPI CENTRO'!N25</f>
        <v>0</v>
      </c>
      <c r="G49" s="551">
        <f>'LAPI SUL'!M37</f>
        <v>7000</v>
      </c>
      <c r="H49" s="554">
        <f>'LAPI MADEIRA'!N38</f>
        <v>8000</v>
      </c>
      <c r="I49" s="562">
        <v>0</v>
      </c>
      <c r="J49" s="34"/>
      <c r="K49" s="33">
        <f>G49+E49+H49+F49</f>
        <v>24000</v>
      </c>
      <c r="L49" s="110"/>
      <c r="M49" s="660">
        <f t="shared" si="2"/>
        <v>24000</v>
      </c>
      <c r="N49" s="110"/>
      <c r="O49" s="650">
        <v>27850</v>
      </c>
      <c r="P49" s="109"/>
      <c r="Q49" s="128"/>
    </row>
    <row r="50" spans="1:17" s="11" customFormat="1" ht="11.25" customHeight="1" outlineLevel="2">
      <c r="A50" s="22"/>
      <c r="B50" s="23"/>
      <c r="C50" s="22" t="s">
        <v>53</v>
      </c>
      <c r="D50" s="561"/>
      <c r="E50" s="552">
        <f>'LAPI NORTE'!L38</f>
        <v>20000</v>
      </c>
      <c r="F50" s="551">
        <f>'LAPI CENTRO'!N26</f>
        <v>4000</v>
      </c>
      <c r="G50" s="551">
        <f>'LAPI SUL'!M38</f>
        <v>35000</v>
      </c>
      <c r="H50" s="554">
        <f>'LAPI MADEIRA'!N39</f>
        <v>8500</v>
      </c>
      <c r="I50" s="562">
        <f>'ARCO IRIS'!D29</f>
        <v>1750</v>
      </c>
      <c r="J50" s="34"/>
      <c r="K50" s="33">
        <f>G50+E50+H50+F50</f>
        <v>67500</v>
      </c>
      <c r="L50" s="110"/>
      <c r="M50" s="660">
        <f t="shared" si="2"/>
        <v>69250</v>
      </c>
      <c r="N50" s="110"/>
      <c r="O50" s="650">
        <v>77950</v>
      </c>
      <c r="P50" s="109"/>
      <c r="Q50" s="128"/>
    </row>
    <row r="51" spans="1:17" s="11" customFormat="1" ht="11.25" customHeight="1" outlineLevel="2">
      <c r="A51" s="22"/>
      <c r="B51" s="23"/>
      <c r="C51" s="22" t="s">
        <v>54</v>
      </c>
      <c r="D51" s="561"/>
      <c r="E51" s="552">
        <f>'LAPI NORTE'!L39</f>
        <v>27000</v>
      </c>
      <c r="F51" s="552"/>
      <c r="G51" s="551">
        <f>'LAPI SUL'!M39</f>
        <v>23000</v>
      </c>
      <c r="H51" s="554">
        <f>'LAPI MADEIRA'!N40</f>
        <v>13500</v>
      </c>
      <c r="I51" s="562">
        <v>0</v>
      </c>
      <c r="J51" s="34"/>
      <c r="K51" s="33"/>
      <c r="L51" s="110"/>
      <c r="M51" s="660">
        <f t="shared" si="2"/>
        <v>63500</v>
      </c>
      <c r="N51" s="110"/>
      <c r="O51" s="650">
        <v>39000</v>
      </c>
      <c r="P51" s="109"/>
      <c r="Q51" s="652"/>
    </row>
    <row r="52" spans="1:17" s="11" customFormat="1" ht="11.25" customHeight="1" outlineLevel="2">
      <c r="A52" s="22"/>
      <c r="B52" s="23"/>
      <c r="C52" s="11" t="s">
        <v>55</v>
      </c>
      <c r="D52" s="656"/>
      <c r="E52" s="552"/>
      <c r="F52" s="552"/>
      <c r="G52" s="551"/>
      <c r="H52" s="637"/>
      <c r="I52" s="562"/>
      <c r="J52" s="34"/>
      <c r="K52" s="33"/>
      <c r="L52" s="110"/>
      <c r="M52" s="660">
        <f t="shared" si="2"/>
        <v>0</v>
      </c>
      <c r="N52" s="110"/>
      <c r="O52" s="650"/>
      <c r="P52" s="109"/>
      <c r="Q52" s="128"/>
    </row>
    <row r="53" spans="1:17" s="9" customFormat="1" ht="14.25" customHeight="1" outlineLevel="1">
      <c r="A53" s="20"/>
      <c r="B53" s="21" t="s">
        <v>12</v>
      </c>
      <c r="C53" s="20"/>
      <c r="D53" s="550">
        <f t="shared" ref="D53:I53" si="7">SUM(D54:D81)</f>
        <v>15180</v>
      </c>
      <c r="E53" s="553">
        <f t="shared" si="7"/>
        <v>118850</v>
      </c>
      <c r="F53" s="553">
        <f t="shared" si="7"/>
        <v>42430</v>
      </c>
      <c r="G53" s="550">
        <f t="shared" si="7"/>
        <v>208550</v>
      </c>
      <c r="H53" s="635">
        <f t="shared" si="7"/>
        <v>107150</v>
      </c>
      <c r="I53" s="550">
        <f t="shared" si="7"/>
        <v>127170</v>
      </c>
      <c r="J53" s="32"/>
      <c r="K53" s="33">
        <f>G53+E53+H53+F53</f>
        <v>476980</v>
      </c>
      <c r="L53" s="110">
        <f>K53/K46</f>
        <v>0.13964223278166277</v>
      </c>
      <c r="M53" s="659">
        <f t="shared" si="2"/>
        <v>619330</v>
      </c>
      <c r="N53" s="110">
        <f>M53/M46</f>
        <v>0.16137066119622989</v>
      </c>
      <c r="O53" s="649">
        <v>493200</v>
      </c>
      <c r="P53" s="115">
        <f>O53/O46</f>
        <v>0.13357191646448094</v>
      </c>
      <c r="Q53" s="83">
        <f>'LAPI CENTRO'!L27+'LAPI SUL'!K40+'LAPI MADEIRA'!L41+'ARCO IRIS'!I30</f>
        <v>507477.91500000004</v>
      </c>
    </row>
    <row r="54" spans="1:17" s="11" customFormat="1" ht="11.25" customHeight="1" outlineLevel="2">
      <c r="A54" s="22"/>
      <c r="B54" s="23"/>
      <c r="C54" s="11" t="s">
        <v>56</v>
      </c>
      <c r="D54" s="561"/>
      <c r="E54" s="552">
        <f>'LAPI NORTE'!L41</f>
        <v>0</v>
      </c>
      <c r="F54" s="551">
        <f>'LAPI CENTRO'!N29</f>
        <v>0</v>
      </c>
      <c r="G54" s="551">
        <f>'LAPI SUL'!M42</f>
        <v>0</v>
      </c>
      <c r="H54" s="554">
        <f>'LAPI MADEIRA'!N42</f>
        <v>0</v>
      </c>
      <c r="I54" s="562">
        <v>0</v>
      </c>
      <c r="J54" s="34"/>
      <c r="K54" s="33">
        <f>G54+E54+H54+F54</f>
        <v>0</v>
      </c>
      <c r="L54" s="110"/>
      <c r="M54" s="660">
        <f t="shared" si="2"/>
        <v>0</v>
      </c>
      <c r="N54" s="110"/>
      <c r="O54" s="650">
        <v>1500</v>
      </c>
      <c r="P54" s="109"/>
      <c r="Q54" s="128"/>
    </row>
    <row r="55" spans="1:17" s="11" customFormat="1" ht="11.25" customHeight="1" outlineLevel="2">
      <c r="A55" s="22"/>
      <c r="B55" s="23"/>
      <c r="C55" s="11" t="s">
        <v>57</v>
      </c>
      <c r="D55" s="561"/>
      <c r="E55" s="552">
        <f>'LAPI NORTE'!D42</f>
        <v>0</v>
      </c>
      <c r="F55" s="551"/>
      <c r="G55" s="551">
        <f>'LAPI SUL'!M43</f>
        <v>900</v>
      </c>
      <c r="H55" s="554">
        <f>'LAPI MADEIRA'!N43</f>
        <v>1250</v>
      </c>
      <c r="I55" s="562">
        <f>'ARCO IRIS'!D31</f>
        <v>1300</v>
      </c>
      <c r="J55" s="34"/>
      <c r="K55" s="33">
        <f t="shared" ref="K55:K67" si="8">G55+E55+H55+F55</f>
        <v>2150</v>
      </c>
      <c r="L55" s="110"/>
      <c r="M55" s="660">
        <f t="shared" si="2"/>
        <v>3450</v>
      </c>
      <c r="N55" s="110"/>
      <c r="O55" s="650">
        <v>2200</v>
      </c>
      <c r="P55" s="109"/>
      <c r="Q55" s="128"/>
    </row>
    <row r="56" spans="1:17" s="11" customFormat="1" ht="11.25" customHeight="1" outlineLevel="2">
      <c r="A56" s="22"/>
      <c r="B56" s="23"/>
      <c r="C56" s="11" t="s">
        <v>58</v>
      </c>
      <c r="D56" s="561">
        <f>'ASA SEDE'!K38</f>
        <v>8880</v>
      </c>
      <c r="E56" s="552">
        <f>'LAPI NORTE'!L43</f>
        <v>11000</v>
      </c>
      <c r="F56" s="551">
        <f>'LAPI CENTRO'!N31</f>
        <v>450</v>
      </c>
      <c r="G56" s="551">
        <f>'LAPI SUL'!M44</f>
        <v>19000</v>
      </c>
      <c r="H56" s="554">
        <f>'LAPI MADEIRA'!N44</f>
        <v>45000</v>
      </c>
      <c r="I56" s="562">
        <f>'ARCO IRIS'!D32</f>
        <v>6400</v>
      </c>
      <c r="J56" s="34"/>
      <c r="K56" s="33">
        <f t="shared" si="8"/>
        <v>75450</v>
      </c>
      <c r="L56" s="110"/>
      <c r="M56" s="660">
        <f t="shared" si="2"/>
        <v>90730</v>
      </c>
      <c r="N56" s="110"/>
      <c r="O56" s="650">
        <v>64300</v>
      </c>
      <c r="P56" s="109"/>
      <c r="Q56" s="128"/>
    </row>
    <row r="57" spans="1:17" s="11" customFormat="1" ht="11.25" customHeight="1" outlineLevel="2">
      <c r="A57" s="22"/>
      <c r="B57" s="23"/>
      <c r="C57" s="11" t="s">
        <v>59</v>
      </c>
      <c r="D57" s="561"/>
      <c r="E57" s="552">
        <f>'LAPI NORTE'!L44</f>
        <v>28000</v>
      </c>
      <c r="F57" s="551">
        <f>'LAPI CENTRO'!N32</f>
        <v>9000</v>
      </c>
      <c r="G57" s="551">
        <f>'LAPI SUL'!M45</f>
        <v>50000</v>
      </c>
      <c r="H57" s="554">
        <f>'LAPI MADEIRA'!N45</f>
        <v>25000</v>
      </c>
      <c r="I57" s="562">
        <f>'ARCO IRIS'!D33+'ARCO IRIS'!D34</f>
        <v>30000</v>
      </c>
      <c r="J57" s="34"/>
      <c r="K57" s="33">
        <f t="shared" si="8"/>
        <v>112000</v>
      </c>
      <c r="L57" s="110"/>
      <c r="M57" s="660">
        <f t="shared" si="2"/>
        <v>142000</v>
      </c>
      <c r="N57" s="110"/>
      <c r="O57" s="650">
        <v>102200</v>
      </c>
      <c r="P57" s="109"/>
      <c r="Q57" s="128"/>
    </row>
    <row r="58" spans="1:17" s="11" customFormat="1" ht="11.25" customHeight="1" outlineLevel="2">
      <c r="A58" s="22"/>
      <c r="B58" s="23"/>
      <c r="C58" s="11" t="s">
        <v>60</v>
      </c>
      <c r="D58" s="561">
        <f>'ASA SEDE'!D55</f>
        <v>0</v>
      </c>
      <c r="E58" s="552">
        <f>'LAPI NORTE'!L45</f>
        <v>0</v>
      </c>
      <c r="F58" s="551"/>
      <c r="G58" s="551">
        <f>'LAPI SUL'!M46</f>
        <v>150</v>
      </c>
      <c r="H58" s="554">
        <f>'LAPI MADEIRA'!N46</f>
        <v>100</v>
      </c>
      <c r="I58" s="562"/>
      <c r="J58" s="34"/>
      <c r="K58" s="33">
        <f t="shared" si="8"/>
        <v>250</v>
      </c>
      <c r="L58" s="110"/>
      <c r="M58" s="660">
        <f t="shared" si="2"/>
        <v>250</v>
      </c>
      <c r="N58" s="110"/>
      <c r="O58" s="650">
        <v>10400</v>
      </c>
      <c r="P58" s="109"/>
      <c r="Q58" s="128"/>
    </row>
    <row r="59" spans="1:17" s="11" customFormat="1" ht="11.25" customHeight="1" outlineLevel="2">
      <c r="A59" s="22"/>
      <c r="B59" s="23"/>
      <c r="C59" s="11" t="s">
        <v>61</v>
      </c>
      <c r="D59" s="561"/>
      <c r="E59" s="552">
        <f>'LAPI NORTE'!L46</f>
        <v>0</v>
      </c>
      <c r="F59" s="554"/>
      <c r="G59" s="551"/>
      <c r="H59" s="554">
        <f>'LAPI MADEIRA'!N47</f>
        <v>0</v>
      </c>
      <c r="I59" s="562"/>
      <c r="J59" s="34"/>
      <c r="K59" s="33">
        <f t="shared" si="8"/>
        <v>0</v>
      </c>
      <c r="L59" s="110"/>
      <c r="M59" s="660">
        <f t="shared" si="2"/>
        <v>0</v>
      </c>
      <c r="N59" s="110"/>
      <c r="O59" s="650">
        <v>0</v>
      </c>
      <c r="P59" s="109"/>
      <c r="Q59" s="128"/>
    </row>
    <row r="60" spans="1:17" s="11" customFormat="1" ht="11.25" customHeight="1" outlineLevel="2">
      <c r="A60" s="22"/>
      <c r="B60" s="23"/>
      <c r="C60" s="11" t="s">
        <v>62</v>
      </c>
      <c r="D60" s="561"/>
      <c r="E60" s="552">
        <f>'LAPI NORTE'!L47</f>
        <v>4500</v>
      </c>
      <c r="F60" s="551">
        <f>'LAPI CENTRO'!N35</f>
        <v>1200</v>
      </c>
      <c r="G60" s="551">
        <f>'LAPI SUL'!M48</f>
        <v>7500</v>
      </c>
      <c r="H60" s="554">
        <f>'LAPI MADEIRA'!N48</f>
        <v>1500</v>
      </c>
      <c r="I60" s="562">
        <f>'ARCO IRIS'!D35</f>
        <v>570</v>
      </c>
      <c r="J60" s="34"/>
      <c r="K60" s="33">
        <f t="shared" si="8"/>
        <v>14700</v>
      </c>
      <c r="L60" s="110"/>
      <c r="M60" s="660">
        <f t="shared" si="2"/>
        <v>15270</v>
      </c>
      <c r="N60" s="110"/>
      <c r="O60" s="650">
        <v>10950</v>
      </c>
      <c r="P60" s="109"/>
      <c r="Q60" s="128"/>
    </row>
    <row r="61" spans="1:17" s="11" customFormat="1" ht="11.25" customHeight="1" outlineLevel="2">
      <c r="A61" s="22"/>
      <c r="B61" s="23"/>
      <c r="C61" s="11" t="s">
        <v>63</v>
      </c>
      <c r="D61" s="561"/>
      <c r="E61" s="552">
        <f>'LAPI NORTE'!L48</f>
        <v>0</v>
      </c>
      <c r="F61" s="554"/>
      <c r="G61" s="551">
        <f>'LAPI SUL'!M49</f>
        <v>0</v>
      </c>
      <c r="H61" s="554">
        <f>'LAPI MADEIRA'!N49</f>
        <v>0</v>
      </c>
      <c r="I61" s="569">
        <v>0</v>
      </c>
      <c r="J61" s="34"/>
      <c r="K61" s="33">
        <f t="shared" si="8"/>
        <v>0</v>
      </c>
      <c r="L61" s="110"/>
      <c r="M61" s="660">
        <f t="shared" si="2"/>
        <v>0</v>
      </c>
      <c r="N61" s="110"/>
      <c r="O61" s="650">
        <v>50</v>
      </c>
      <c r="P61" s="109"/>
      <c r="Q61" s="128"/>
    </row>
    <row r="62" spans="1:17" s="11" customFormat="1" ht="11.25" customHeight="1" outlineLevel="2">
      <c r="A62" s="22"/>
      <c r="B62" s="23"/>
      <c r="C62" s="11" t="s">
        <v>64</v>
      </c>
      <c r="D62" s="569">
        <f>'ASA SEDE'!D41</f>
        <v>0</v>
      </c>
      <c r="E62" s="552">
        <f>'LAPI NORTE'!L49</f>
        <v>300</v>
      </c>
      <c r="F62" s="551">
        <f>'LAPI CENTRO'!N37</f>
        <v>50</v>
      </c>
      <c r="G62" s="551">
        <f>'LAPI SUL'!M50</f>
        <v>1500</v>
      </c>
      <c r="H62" s="554">
        <f>'LAPI MADEIRA'!N50</f>
        <v>600</v>
      </c>
      <c r="I62" s="569">
        <v>0</v>
      </c>
      <c r="J62" s="34"/>
      <c r="K62" s="33">
        <f t="shared" si="8"/>
        <v>2450</v>
      </c>
      <c r="L62" s="110"/>
      <c r="M62" s="660">
        <f t="shared" si="2"/>
        <v>2450</v>
      </c>
      <c r="N62" s="110"/>
      <c r="O62" s="650">
        <v>2200</v>
      </c>
      <c r="P62" s="109"/>
      <c r="Q62" s="128"/>
    </row>
    <row r="63" spans="1:17" s="11" customFormat="1" ht="11.25" customHeight="1" outlineLevel="2">
      <c r="A63" s="22"/>
      <c r="B63" s="23"/>
      <c r="C63" s="11" t="s">
        <v>65</v>
      </c>
      <c r="D63" s="561"/>
      <c r="E63" s="552">
        <f>'LAPI NORTE'!L50</f>
        <v>1800</v>
      </c>
      <c r="F63" s="551">
        <f>'LAPI CENTRO'!N38</f>
        <v>300</v>
      </c>
      <c r="G63" s="551">
        <f>'LAPI SUL'!M51</f>
        <v>500</v>
      </c>
      <c r="H63" s="554">
        <f>'LAPI MADEIRA'!N51</f>
        <v>400</v>
      </c>
      <c r="I63" s="562">
        <f>'ARCO IRIS'!D36</f>
        <v>1000</v>
      </c>
      <c r="J63" s="34"/>
      <c r="K63" s="33">
        <f t="shared" si="8"/>
        <v>3000</v>
      </c>
      <c r="L63" s="110"/>
      <c r="M63" s="660">
        <f t="shared" si="2"/>
        <v>4000</v>
      </c>
      <c r="N63" s="110"/>
      <c r="O63" s="650">
        <v>1550</v>
      </c>
      <c r="P63" s="109"/>
      <c r="Q63" s="128"/>
    </row>
    <row r="64" spans="1:17" s="11" customFormat="1" ht="11.25" customHeight="1" outlineLevel="2">
      <c r="A64" s="22"/>
      <c r="B64" s="23"/>
      <c r="C64" s="11" t="s">
        <v>66</v>
      </c>
      <c r="D64" s="561"/>
      <c r="E64" s="552">
        <f>'LAPI NORTE'!L51</f>
        <v>19000</v>
      </c>
      <c r="F64" s="551">
        <f>'LAPI CENTRO'!N39</f>
        <v>7500</v>
      </c>
      <c r="G64" s="551">
        <f>'LAPI SUL'!M52</f>
        <v>35000</v>
      </c>
      <c r="H64" s="554">
        <f>'LAPI MADEIRA'!N52</f>
        <v>6500</v>
      </c>
      <c r="I64" s="562">
        <f>'ARCO IRIS'!D37</f>
        <v>4200</v>
      </c>
      <c r="J64" s="34"/>
      <c r="K64" s="33">
        <f t="shared" si="8"/>
        <v>68000</v>
      </c>
      <c r="L64" s="110"/>
      <c r="M64" s="660">
        <f t="shared" si="2"/>
        <v>72200</v>
      </c>
      <c r="N64" s="110"/>
      <c r="O64" s="650">
        <v>67400</v>
      </c>
      <c r="P64" s="109"/>
      <c r="Q64" s="128"/>
    </row>
    <row r="65" spans="1:17" s="11" customFormat="1" ht="11.25" customHeight="1" outlineLevel="2">
      <c r="A65" s="22"/>
      <c r="B65" s="23"/>
      <c r="C65" s="11" t="s">
        <v>67</v>
      </c>
      <c r="D65" s="561"/>
      <c r="E65" s="552">
        <f>'LAPI NORTE'!L52</f>
        <v>2500</v>
      </c>
      <c r="F65" s="551">
        <f>'LAPI CENTRO'!N40</f>
        <v>6800</v>
      </c>
      <c r="G65" s="551">
        <f>'LAPI SUL'!M53</f>
        <v>5000</v>
      </c>
      <c r="H65" s="554">
        <f>'LAPI MADEIRA'!N53</f>
        <v>7000</v>
      </c>
      <c r="I65" s="562">
        <f>'ARCO IRIS'!D38</f>
        <v>900</v>
      </c>
      <c r="J65" s="34"/>
      <c r="K65" s="33">
        <f t="shared" si="8"/>
        <v>21300</v>
      </c>
      <c r="L65" s="110"/>
      <c r="M65" s="660">
        <f t="shared" si="2"/>
        <v>22200</v>
      </c>
      <c r="N65" s="110"/>
      <c r="O65" s="650">
        <v>20500</v>
      </c>
      <c r="P65" s="109"/>
      <c r="Q65" s="128"/>
    </row>
    <row r="66" spans="1:17" s="11" customFormat="1" ht="11.25" customHeight="1" outlineLevel="2">
      <c r="A66" s="22"/>
      <c r="B66" s="23"/>
      <c r="C66" s="11" t="s">
        <v>68</v>
      </c>
      <c r="D66" s="569"/>
      <c r="E66" s="552">
        <f>'LAPI NORTE'!L53</f>
        <v>4500</v>
      </c>
      <c r="F66" s="551">
        <f>'LAPI CENTRO'!N41</f>
        <v>3300</v>
      </c>
      <c r="G66" s="551">
        <f>'LAPI SUL'!M54</f>
        <v>10000</v>
      </c>
      <c r="H66" s="554">
        <f>'LAPI MADEIRA'!N54</f>
        <v>4000</v>
      </c>
      <c r="I66" s="562">
        <f>'ARCO IRIS'!D39</f>
        <v>4000</v>
      </c>
      <c r="J66" s="34"/>
      <c r="K66" s="33">
        <f t="shared" si="8"/>
        <v>21800</v>
      </c>
      <c r="L66" s="110"/>
      <c r="M66" s="660">
        <f t="shared" si="2"/>
        <v>25800</v>
      </c>
      <c r="N66" s="110"/>
      <c r="O66" s="650">
        <v>23200</v>
      </c>
      <c r="P66" s="109"/>
      <c r="Q66" s="128"/>
    </row>
    <row r="67" spans="1:17" s="11" customFormat="1" ht="11.25" customHeight="1" outlineLevel="2">
      <c r="A67" s="22"/>
      <c r="B67" s="23"/>
      <c r="C67" s="11" t="s">
        <v>69</v>
      </c>
      <c r="D67" s="569"/>
      <c r="E67" s="552">
        <f>'LAPI NORTE'!L54</f>
        <v>30000</v>
      </c>
      <c r="F67" s="551">
        <f>'LAPI CENTRO'!N42</f>
        <v>3500</v>
      </c>
      <c r="G67" s="551">
        <f>'LAPI SUL'!M55</f>
        <v>33000</v>
      </c>
      <c r="H67" s="554">
        <f>'LAPI MADEIRA'!N55</f>
        <v>4000</v>
      </c>
      <c r="I67" s="562"/>
      <c r="J67" s="34"/>
      <c r="K67" s="33">
        <f t="shared" si="8"/>
        <v>70500</v>
      </c>
      <c r="L67" s="110"/>
      <c r="M67" s="660">
        <f t="shared" si="2"/>
        <v>70500</v>
      </c>
      <c r="N67" s="110"/>
      <c r="O67" s="650">
        <v>57500</v>
      </c>
      <c r="P67" s="109"/>
      <c r="Q67" s="128"/>
    </row>
    <row r="68" spans="1:17" s="11" customFormat="1" ht="11.25" customHeight="1" outlineLevel="2">
      <c r="A68" s="22"/>
      <c r="B68" s="23"/>
      <c r="C68" s="11" t="s">
        <v>70</v>
      </c>
      <c r="D68" s="561">
        <f>'ASA SEDE'!K35</f>
        <v>6300</v>
      </c>
      <c r="E68" s="552">
        <v>0</v>
      </c>
      <c r="F68" s="554"/>
      <c r="G68" s="551">
        <f>'LAPI SUL'!M41</f>
        <v>26400</v>
      </c>
      <c r="H68" s="564"/>
      <c r="I68" s="562"/>
      <c r="J68" s="34"/>
      <c r="K68" s="33"/>
      <c r="L68" s="110"/>
      <c r="M68" s="660">
        <f t="shared" si="2"/>
        <v>32700</v>
      </c>
      <c r="N68" s="110"/>
      <c r="O68" s="650">
        <v>6010</v>
      </c>
      <c r="P68" s="109"/>
      <c r="Q68" s="128"/>
    </row>
    <row r="69" spans="1:17" s="11" customFormat="1" ht="11.25" customHeight="1" outlineLevel="2">
      <c r="A69" s="22"/>
      <c r="B69" s="23"/>
      <c r="C69" s="11" t="s">
        <v>71</v>
      </c>
      <c r="D69" s="551"/>
      <c r="E69" s="552">
        <f>'LAPI NORTE'!L55</f>
        <v>7250</v>
      </c>
      <c r="F69" s="554">
        <f>'LAPI CENTRO'!N43</f>
        <v>1750</v>
      </c>
      <c r="G69" s="551">
        <f>'LAPI SUL'!M56+'LAPI SUL'!M57</f>
        <v>4000</v>
      </c>
      <c r="H69" s="554">
        <f>'LAPI MADEIRA'!N56</f>
        <v>2000</v>
      </c>
      <c r="I69" s="562">
        <f>'ARCO IRIS'!D40</f>
        <v>500</v>
      </c>
      <c r="J69" s="34"/>
      <c r="K69" s="33" t="e">
        <f>G69+E69+#REF!+F69</f>
        <v>#REF!</v>
      </c>
      <c r="L69" s="110"/>
      <c r="M69" s="660">
        <f t="shared" si="2"/>
        <v>15500</v>
      </c>
      <c r="N69" s="110"/>
      <c r="O69" s="650">
        <v>13240</v>
      </c>
      <c r="P69" s="109"/>
      <c r="Q69" s="128"/>
    </row>
    <row r="70" spans="1:17" s="11" customFormat="1" ht="11.25" customHeight="1" outlineLevel="2">
      <c r="A70" s="22"/>
      <c r="B70" s="23"/>
      <c r="C70" s="11" t="s">
        <v>182</v>
      </c>
      <c r="D70" s="551"/>
      <c r="E70" s="552"/>
      <c r="F70" s="554"/>
      <c r="G70" s="551"/>
      <c r="H70" s="554"/>
      <c r="I70" s="562">
        <f>'ARCO IRIS'!D43</f>
        <v>7200</v>
      </c>
      <c r="J70" s="34"/>
      <c r="K70" s="33"/>
      <c r="L70" s="110"/>
      <c r="M70" s="660">
        <f t="shared" si="2"/>
        <v>7200</v>
      </c>
      <c r="N70" s="110"/>
      <c r="O70" s="650"/>
      <c r="P70" s="109"/>
      <c r="Q70" s="128"/>
    </row>
    <row r="71" spans="1:17" s="11" customFormat="1" ht="11.25" customHeight="1" outlineLevel="2">
      <c r="A71" s="22"/>
      <c r="B71" s="23"/>
      <c r="C71" s="11" t="s">
        <v>72</v>
      </c>
      <c r="D71" s="561"/>
      <c r="E71" s="552"/>
      <c r="F71" s="554">
        <v>0</v>
      </c>
      <c r="G71" s="551">
        <v>0</v>
      </c>
      <c r="H71" s="554">
        <f>'LAPI MADEIRA'!N58</f>
        <v>150</v>
      </c>
      <c r="I71" s="656"/>
      <c r="J71" s="34"/>
      <c r="K71" s="33">
        <f t="shared" ref="K71:K74" si="9">G71+E71+H71+F71</f>
        <v>150</v>
      </c>
      <c r="L71" s="110"/>
      <c r="M71" s="660">
        <f t="shared" si="2"/>
        <v>150</v>
      </c>
      <c r="N71" s="110"/>
      <c r="O71" s="650">
        <v>0</v>
      </c>
      <c r="P71" s="109"/>
      <c r="Q71" s="128"/>
    </row>
    <row r="72" spans="1:17" s="11" customFormat="1" ht="11.25" customHeight="1" outlineLevel="2">
      <c r="A72" s="22"/>
      <c r="B72" s="23"/>
      <c r="C72" s="11" t="s">
        <v>73</v>
      </c>
      <c r="D72" s="561">
        <f>'ASA SEDE'!D42</f>
        <v>0</v>
      </c>
      <c r="E72" s="552">
        <f>'LAPI NORTE'!L56</f>
        <v>3000</v>
      </c>
      <c r="F72" s="554">
        <f>'LAPI CENTRO'!N44</f>
        <v>180</v>
      </c>
      <c r="G72" s="551">
        <f>'LAPI SUL'!M58</f>
        <v>8500</v>
      </c>
      <c r="H72" s="564"/>
      <c r="I72" s="562">
        <f>'ARCO IRIS'!D41</f>
        <v>2000</v>
      </c>
      <c r="J72" s="34"/>
      <c r="K72" s="33">
        <f>G72+E72+H73+F72</f>
        <v>13680</v>
      </c>
      <c r="L72" s="110"/>
      <c r="M72" s="660">
        <f t="shared" si="2"/>
        <v>13680</v>
      </c>
      <c r="N72" s="110"/>
      <c r="O72" s="650">
        <v>26900</v>
      </c>
      <c r="P72" s="109"/>
      <c r="Q72" s="128"/>
    </row>
    <row r="73" spans="1:17" s="11" customFormat="1" ht="11.25" customHeight="1" outlineLevel="2">
      <c r="A73" s="22"/>
      <c r="B73" s="23"/>
      <c r="C73" s="11" t="s">
        <v>74</v>
      </c>
      <c r="D73" s="561">
        <f>'ASA SEDE'!D43</f>
        <v>0</v>
      </c>
      <c r="E73" s="552">
        <f>'LAPI NORTE'!L57</f>
        <v>6500</v>
      </c>
      <c r="F73" s="554">
        <f>'LAPI CENTRO'!N45</f>
        <v>8000</v>
      </c>
      <c r="G73" s="551">
        <f>'LAPI SUL'!M59</f>
        <v>6000</v>
      </c>
      <c r="H73" s="554">
        <f>'LAPI MADEIRA'!N59</f>
        <v>2000</v>
      </c>
      <c r="I73" s="562">
        <f>'ARCO IRIS'!D42</f>
        <v>1600</v>
      </c>
      <c r="J73" s="34"/>
      <c r="K73" s="33" t="e">
        <f>G73+E73+#REF!+F73</f>
        <v>#REF!</v>
      </c>
      <c r="L73" s="110"/>
      <c r="M73" s="660">
        <f t="shared" si="2"/>
        <v>24100</v>
      </c>
      <c r="N73" s="110"/>
      <c r="O73" s="650">
        <v>11600</v>
      </c>
      <c r="P73" s="109"/>
      <c r="Q73" s="128"/>
    </row>
    <row r="74" spans="1:17" s="11" customFormat="1" ht="11.25" customHeight="1" outlineLevel="2">
      <c r="A74" s="22"/>
      <c r="B74" s="23"/>
      <c r="C74" s="11" t="s">
        <v>75</v>
      </c>
      <c r="D74" s="561"/>
      <c r="E74" s="552">
        <f>'LAPI NORTE'!L58</f>
        <v>0</v>
      </c>
      <c r="F74" s="555"/>
      <c r="G74" s="551">
        <f>'LAPI SUL'!M60</f>
        <v>300</v>
      </c>
      <c r="H74" s="554">
        <f>'LAPI MADEIRA'!N60</f>
        <v>0</v>
      </c>
      <c r="I74" s="562">
        <v>0</v>
      </c>
      <c r="J74" s="34"/>
      <c r="K74" s="33">
        <f t="shared" si="9"/>
        <v>300</v>
      </c>
      <c r="L74" s="110"/>
      <c r="M74" s="660">
        <f t="shared" si="2"/>
        <v>300</v>
      </c>
      <c r="N74" s="110"/>
      <c r="O74" s="650">
        <v>1300</v>
      </c>
      <c r="P74" s="109"/>
      <c r="Q74" s="128"/>
    </row>
    <row r="75" spans="1:17" s="11" customFormat="1" ht="11.25" customHeight="1" outlineLevel="2">
      <c r="A75" s="22"/>
      <c r="B75" s="23"/>
      <c r="C75" s="11" t="s">
        <v>76</v>
      </c>
      <c r="D75" s="561"/>
      <c r="E75" s="552">
        <f>'LAPI NORTE'!L60</f>
        <v>500</v>
      </c>
      <c r="F75" s="555">
        <f>'LAPI CENTRO'!N47</f>
        <v>400</v>
      </c>
      <c r="G75" s="551">
        <f>'LAPI SUL'!M61</f>
        <v>700</v>
      </c>
      <c r="H75" s="554">
        <f>'LAPI MADEIRA'!N61</f>
        <v>600</v>
      </c>
      <c r="I75" s="562">
        <f>'ARCO IRIS'!D48</f>
        <v>0</v>
      </c>
      <c r="J75" s="34"/>
      <c r="K75" s="33">
        <f>G75+E75+H76+F75</f>
        <v>8600</v>
      </c>
      <c r="L75" s="110"/>
      <c r="M75" s="660">
        <f t="shared" ref="M75:M98" si="10">SUM(D75:I75)</f>
        <v>2200</v>
      </c>
      <c r="N75" s="110"/>
      <c r="O75" s="650">
        <v>1900</v>
      </c>
      <c r="P75" s="109"/>
      <c r="Q75" s="128"/>
    </row>
    <row r="76" spans="1:17" s="11" customFormat="1" ht="11.25" customHeight="1" outlineLevel="2">
      <c r="A76" s="22"/>
      <c r="B76" s="23"/>
      <c r="C76" s="11" t="s">
        <v>77</v>
      </c>
      <c r="D76" s="561"/>
      <c r="E76" s="552">
        <f>'LAPI NORTE'!L61</f>
        <v>0</v>
      </c>
      <c r="F76" s="555">
        <f>'LAPI CENTRO'!N48</f>
        <v>0</v>
      </c>
      <c r="G76" s="551">
        <f>'LAPI SUL'!M62</f>
        <v>0</v>
      </c>
      <c r="H76" s="554">
        <f>'LAPI MADEIRA'!N62</f>
        <v>7000</v>
      </c>
      <c r="I76" s="562">
        <f>'ARCO IRIS'!D49</f>
        <v>0</v>
      </c>
      <c r="J76" s="34"/>
      <c r="K76" s="33"/>
      <c r="L76" s="110"/>
      <c r="M76" s="660">
        <f t="shared" si="10"/>
        <v>7000</v>
      </c>
      <c r="N76" s="110"/>
      <c r="O76" s="650">
        <v>45400</v>
      </c>
      <c r="P76" s="109"/>
      <c r="Q76" s="128"/>
    </row>
    <row r="77" spans="1:17" s="11" customFormat="1" ht="11.25" customHeight="1" outlineLevel="2">
      <c r="A77" s="22"/>
      <c r="B77" s="23"/>
      <c r="C77" s="11" t="s">
        <v>78</v>
      </c>
      <c r="D77" s="561"/>
      <c r="E77" s="552">
        <f>'LAPI NORTE'!L62</f>
        <v>0</v>
      </c>
      <c r="F77" s="554"/>
      <c r="G77" s="551">
        <f>'LAPI SUL'!M63</f>
        <v>100</v>
      </c>
      <c r="H77" s="554">
        <f>'LAPI MADEIRA'!N63</f>
        <v>50</v>
      </c>
      <c r="I77" s="562">
        <v>0</v>
      </c>
      <c r="J77" s="34"/>
      <c r="K77" s="33"/>
      <c r="L77" s="110"/>
      <c r="M77" s="660">
        <f t="shared" si="10"/>
        <v>150</v>
      </c>
      <c r="N77" s="110"/>
      <c r="O77" s="650">
        <v>0</v>
      </c>
      <c r="P77" s="109"/>
      <c r="Q77" s="128"/>
    </row>
    <row r="78" spans="1:17" s="11" customFormat="1" ht="11.25" customHeight="1" outlineLevel="2">
      <c r="A78" s="22"/>
      <c r="B78" s="23"/>
      <c r="C78" s="11" t="s">
        <v>99</v>
      </c>
      <c r="D78" s="561"/>
      <c r="E78" s="552"/>
      <c r="F78" s="554"/>
      <c r="G78" s="551"/>
      <c r="H78" s="554"/>
      <c r="I78" s="562">
        <f>'ARCO IRIS'!D44</f>
        <v>2500</v>
      </c>
      <c r="J78" s="34"/>
      <c r="K78" s="33"/>
      <c r="L78" s="110"/>
      <c r="M78" s="660">
        <f>SUM(D78:I78)</f>
        <v>2500</v>
      </c>
      <c r="N78" s="110"/>
      <c r="O78" s="650">
        <v>2500</v>
      </c>
      <c r="P78" s="109"/>
      <c r="Q78" s="128"/>
    </row>
    <row r="79" spans="1:17" s="11" customFormat="1" ht="11.25" customHeight="1" outlineLevel="2">
      <c r="A79" s="22"/>
      <c r="B79" s="23"/>
      <c r="C79" s="11" t="s">
        <v>243</v>
      </c>
      <c r="D79" s="561"/>
      <c r="E79" s="552"/>
      <c r="F79" s="554"/>
      <c r="G79" s="551"/>
      <c r="H79" s="554"/>
      <c r="I79" s="562">
        <f>'ARCO IRIS'!D47</f>
        <v>15000</v>
      </c>
      <c r="J79" s="34"/>
      <c r="K79" s="33"/>
      <c r="L79" s="110"/>
      <c r="M79" s="660"/>
      <c r="N79" s="110"/>
      <c r="O79" s="650"/>
      <c r="P79" s="109"/>
      <c r="Q79" s="128"/>
    </row>
    <row r="80" spans="1:17" s="11" customFormat="1" ht="11.25" customHeight="1" outlineLevel="2">
      <c r="A80" s="22"/>
      <c r="B80" s="23"/>
      <c r="C80" s="11" t="s">
        <v>55</v>
      </c>
      <c r="D80" s="561"/>
      <c r="E80" s="552"/>
      <c r="F80" s="554"/>
      <c r="G80" s="551"/>
      <c r="H80" s="554"/>
      <c r="I80" s="562">
        <f>'ARCO IRIS'!D46</f>
        <v>50000</v>
      </c>
      <c r="J80" s="34"/>
      <c r="K80" s="33"/>
      <c r="L80" s="110"/>
      <c r="M80" s="660"/>
      <c r="N80" s="110"/>
      <c r="O80" s="650"/>
      <c r="P80" s="109"/>
      <c r="Q80" s="205"/>
    </row>
    <row r="81" spans="1:19" s="11" customFormat="1" ht="11.25" customHeight="1" outlineLevel="2">
      <c r="A81" s="22"/>
      <c r="B81" s="23"/>
      <c r="C81" s="11" t="s">
        <v>61</v>
      </c>
      <c r="D81" s="561"/>
      <c r="E81" s="552">
        <v>0</v>
      </c>
      <c r="F81" s="554"/>
      <c r="G81" s="551">
        <f>'LAPI SUL'!M64</f>
        <v>0</v>
      </c>
      <c r="H81" s="554">
        <v>0</v>
      </c>
      <c r="I81" s="562">
        <v>0</v>
      </c>
      <c r="J81" s="34"/>
      <c r="K81" s="33">
        <f t="shared" ref="K81:K89" si="11">G81+E81+H81+F81</f>
        <v>0</v>
      </c>
      <c r="L81" s="110"/>
      <c r="M81" s="660">
        <f t="shared" si="10"/>
        <v>0</v>
      </c>
      <c r="N81" s="110"/>
      <c r="O81" s="650">
        <v>13200</v>
      </c>
      <c r="P81" s="109"/>
      <c r="Q81" s="128"/>
    </row>
    <row r="82" spans="1:19" s="13" customFormat="1" ht="14.25" customHeight="1" outlineLevel="1">
      <c r="A82" s="21"/>
      <c r="B82" s="21" t="s">
        <v>13</v>
      </c>
      <c r="C82" s="21"/>
      <c r="D82" s="557">
        <f t="shared" ref="D82:I82" si="12">SUM(D83:D91)</f>
        <v>0</v>
      </c>
      <c r="E82" s="556">
        <f t="shared" si="12"/>
        <v>674007.80050200003</v>
      </c>
      <c r="F82" s="556">
        <f t="shared" si="12"/>
        <v>310647.69432100002</v>
      </c>
      <c r="G82" s="556">
        <f>SUM(G83:G91)</f>
        <v>984821.14293760015</v>
      </c>
      <c r="H82" s="639">
        <f>SUM(H83:H91)</f>
        <v>331272.18939000001</v>
      </c>
      <c r="I82" s="557">
        <f t="shared" si="12"/>
        <v>269705.5</v>
      </c>
      <c r="J82" s="36"/>
      <c r="K82" s="33">
        <f t="shared" si="11"/>
        <v>2300748.8271506</v>
      </c>
      <c r="L82" s="110">
        <f>K82/K46</f>
        <v>0.67357478991383635</v>
      </c>
      <c r="M82" s="659">
        <f t="shared" si="10"/>
        <v>2570454.3271506</v>
      </c>
      <c r="N82" s="110">
        <f>M82/M46</f>
        <v>0.6697494297821881</v>
      </c>
      <c r="O82" s="649">
        <v>2488892.9300000002</v>
      </c>
      <c r="P82" s="115">
        <f>O82/O46</f>
        <v>0.67405960773519302</v>
      </c>
      <c r="Q82" s="83">
        <f>'LAPI NORTE'!J63+'LAPI CENTRO'!L49+'LAPI SUL'!K65+'LAPI MADEIRA'!L41+'ARCO IRIS'!I50</f>
        <v>1950762.09</v>
      </c>
      <c r="S82" s="663" t="s">
        <v>245</v>
      </c>
    </row>
    <row r="83" spans="1:19" s="11" customFormat="1" ht="11.25" customHeight="1" outlineLevel="2">
      <c r="A83" s="22"/>
      <c r="B83" s="23"/>
      <c r="C83" s="11" t="s">
        <v>79</v>
      </c>
      <c r="D83" s="551">
        <f>'ASA SEDE'!D60</f>
        <v>0</v>
      </c>
      <c r="E83" s="552">
        <f>'LAPI NORTE'!L64</f>
        <v>542770.07400000002</v>
      </c>
      <c r="F83" s="554">
        <f>'LAPI CENTRO'!N50</f>
        <v>250693.12700000001</v>
      </c>
      <c r="G83" s="551">
        <f>'LAPI SUL'!M66</f>
        <v>794211.89120000007</v>
      </c>
      <c r="H83" s="554">
        <f>'LAPI MADEIRA'!N66</f>
        <v>267924.93</v>
      </c>
      <c r="I83" s="561">
        <f>'ARCO IRIS'!D51</f>
        <v>219978</v>
      </c>
      <c r="J83" s="34"/>
      <c r="K83" s="33">
        <f t="shared" si="11"/>
        <v>1855600.0222</v>
      </c>
      <c r="L83" s="110"/>
      <c r="M83" s="660">
        <f t="shared" si="10"/>
        <v>2075578.0222</v>
      </c>
      <c r="N83" s="110"/>
      <c r="O83" s="650">
        <v>1986223.98</v>
      </c>
      <c r="P83" s="109"/>
      <c r="Q83" s="128"/>
    </row>
    <row r="84" spans="1:19" s="11" customFormat="1" ht="11.25" customHeight="1" outlineLevel="2">
      <c r="A84" s="22"/>
      <c r="B84" s="23"/>
      <c r="C84" s="11" t="s">
        <v>194</v>
      </c>
      <c r="D84" s="551">
        <v>0</v>
      </c>
      <c r="E84" s="552">
        <f>'LAPI NORTE'!L65</f>
        <v>0</v>
      </c>
      <c r="F84" s="554">
        <f>'LAPI CENTRO'!N51</f>
        <v>0</v>
      </c>
      <c r="G84" s="551">
        <f>'LAPI SUL'!M67</f>
        <v>177109.25173760002</v>
      </c>
      <c r="H84" s="554">
        <f>'LAPI MADEIRA'!N67</f>
        <v>0</v>
      </c>
      <c r="I84" s="561"/>
      <c r="J84" s="34"/>
      <c r="K84" s="33">
        <f t="shared" si="11"/>
        <v>177109.25173760002</v>
      </c>
      <c r="L84" s="110"/>
      <c r="M84" s="660">
        <f t="shared" si="10"/>
        <v>177109.25173760002</v>
      </c>
      <c r="N84" s="110"/>
      <c r="O84" s="650">
        <v>0</v>
      </c>
      <c r="P84" s="109"/>
      <c r="Q84" s="128"/>
    </row>
    <row r="85" spans="1:19" s="11" customFormat="1" ht="11.25" customHeight="1" outlineLevel="2">
      <c r="A85" s="22"/>
      <c r="B85" s="23"/>
      <c r="C85" s="11" t="s">
        <v>81</v>
      </c>
      <c r="D85" s="551">
        <f>'ASA SEDE'!D61</f>
        <v>0</v>
      </c>
      <c r="E85" s="552">
        <f>'LAPI NORTE'!L66</f>
        <v>121037.726502</v>
      </c>
      <c r="F85" s="554">
        <f>'LAPI CENTRO'!N52</f>
        <v>55904.567321000002</v>
      </c>
      <c r="G85" s="551">
        <f>'LAPI SUL'!M68</f>
        <v>8500</v>
      </c>
      <c r="H85" s="554">
        <f>'LAPI MADEIRA'!N68</f>
        <v>59747.259389999999</v>
      </c>
      <c r="I85" s="561">
        <f>'ARCO IRIS'!D52</f>
        <v>45277.5</v>
      </c>
      <c r="J85" s="34"/>
      <c r="K85" s="33">
        <f t="shared" si="11"/>
        <v>245189.55321300001</v>
      </c>
      <c r="L85" s="110"/>
      <c r="M85" s="660">
        <f t="shared" si="10"/>
        <v>290467.05321300001</v>
      </c>
      <c r="N85" s="110"/>
      <c r="O85" s="650">
        <v>442936.07999999996</v>
      </c>
      <c r="P85" s="109"/>
      <c r="Q85" s="128"/>
    </row>
    <row r="86" spans="1:19" s="11" customFormat="1" ht="11.25" customHeight="1" outlineLevel="2">
      <c r="A86" s="22"/>
      <c r="B86" s="23"/>
      <c r="C86" s="11" t="s">
        <v>82</v>
      </c>
      <c r="D86" s="551">
        <f>'ASA SEDE'!D63</f>
        <v>0</v>
      </c>
      <c r="E86" s="552">
        <f>'LAPI NORTE'!L67</f>
        <v>7600</v>
      </c>
      <c r="F86" s="554">
        <f>'LAPI CENTRO'!N53</f>
        <v>2500</v>
      </c>
      <c r="G86" s="551">
        <f>'LAPI SUL'!M69</f>
        <v>1000</v>
      </c>
      <c r="H86" s="554">
        <f>'LAPI MADEIRA'!N69</f>
        <v>1600</v>
      </c>
      <c r="I86" s="561">
        <f>'ARCO IRIS'!D53</f>
        <v>2500</v>
      </c>
      <c r="J86" s="34"/>
      <c r="K86" s="33">
        <f t="shared" si="11"/>
        <v>12700</v>
      </c>
      <c r="L86" s="110"/>
      <c r="M86" s="660">
        <f t="shared" si="10"/>
        <v>15200</v>
      </c>
      <c r="N86" s="110"/>
      <c r="O86" s="650">
        <v>34892.869999999995</v>
      </c>
      <c r="P86" s="109"/>
      <c r="Q86" s="128"/>
    </row>
    <row r="87" spans="1:19" s="11" customFormat="1" ht="11.25" customHeight="1" outlineLevel="2">
      <c r="A87" s="22"/>
      <c r="B87" s="23"/>
      <c r="C87" s="11" t="s">
        <v>83</v>
      </c>
      <c r="D87" s="551"/>
      <c r="E87" s="552">
        <f>'LAPI NORTE'!L68</f>
        <v>1000</v>
      </c>
      <c r="F87" s="554">
        <f>'LAPI CENTRO'!N54</f>
        <v>300</v>
      </c>
      <c r="G87" s="551">
        <f>'LAPI SUL'!M70</f>
        <v>0</v>
      </c>
      <c r="H87" s="554">
        <f>'LAPI MADEIRA'!N70</f>
        <v>400</v>
      </c>
      <c r="I87" s="561">
        <v>0</v>
      </c>
      <c r="J87" s="34"/>
      <c r="K87" s="33">
        <f t="shared" si="11"/>
        <v>1700</v>
      </c>
      <c r="L87" s="110"/>
      <c r="M87" s="660">
        <f t="shared" si="10"/>
        <v>1700</v>
      </c>
      <c r="N87" s="110"/>
      <c r="O87" s="650">
        <v>5100</v>
      </c>
      <c r="P87" s="109"/>
      <c r="Q87" s="128"/>
    </row>
    <row r="88" spans="1:19" s="11" customFormat="1" ht="11.25" customHeight="1" outlineLevel="2">
      <c r="A88" s="22"/>
      <c r="B88" s="23"/>
      <c r="C88" s="11" t="s">
        <v>84</v>
      </c>
      <c r="D88" s="551"/>
      <c r="E88" s="552">
        <f>'LAPI NORTE'!L69</f>
        <v>0</v>
      </c>
      <c r="F88" s="554">
        <f>'LAPI CENTRO'!N55</f>
        <v>600</v>
      </c>
      <c r="G88" s="551">
        <f>'LAPI SUL'!M71</f>
        <v>1500</v>
      </c>
      <c r="H88" s="554">
        <f>'LAPI MADEIRA'!N71</f>
        <v>1000</v>
      </c>
      <c r="I88" s="561">
        <f>'ARCO IRIS'!D54</f>
        <v>500</v>
      </c>
      <c r="J88" s="34"/>
      <c r="K88" s="33">
        <f t="shared" si="11"/>
        <v>3100</v>
      </c>
      <c r="L88" s="110"/>
      <c r="M88" s="660">
        <f t="shared" si="10"/>
        <v>3600</v>
      </c>
      <c r="N88" s="110"/>
      <c r="O88" s="650">
        <v>4200</v>
      </c>
      <c r="P88" s="109"/>
      <c r="Q88" s="128"/>
    </row>
    <row r="89" spans="1:19" s="11" customFormat="1" ht="11.25" customHeight="1" outlineLevel="2">
      <c r="A89" s="22"/>
      <c r="B89" s="23"/>
      <c r="C89" s="11" t="s">
        <v>85</v>
      </c>
      <c r="D89" s="551"/>
      <c r="E89" s="552">
        <f>'LAPI NORTE'!L70</f>
        <v>1200</v>
      </c>
      <c r="F89" s="554">
        <f>'LAPI CENTRO'!N56</f>
        <v>650</v>
      </c>
      <c r="G89" s="551">
        <f>'LAPI SUL'!M72</f>
        <v>0</v>
      </c>
      <c r="H89" s="554">
        <f>'LAPI MADEIRA'!N72</f>
        <v>600</v>
      </c>
      <c r="I89" s="561">
        <f>'ARCO IRIS'!D56</f>
        <v>450</v>
      </c>
      <c r="J89" s="34"/>
      <c r="K89" s="33">
        <f t="shared" si="11"/>
        <v>2450</v>
      </c>
      <c r="L89" s="110"/>
      <c r="M89" s="660">
        <f t="shared" si="10"/>
        <v>2900</v>
      </c>
      <c r="N89" s="110"/>
      <c r="O89" s="650">
        <v>4450</v>
      </c>
      <c r="P89" s="109"/>
      <c r="Q89" s="128"/>
    </row>
    <row r="90" spans="1:19" s="11" customFormat="1" ht="11.25" customHeight="1" outlineLevel="2">
      <c r="A90" s="22"/>
      <c r="B90" s="23"/>
      <c r="C90" s="11" t="s">
        <v>86</v>
      </c>
      <c r="D90" s="551"/>
      <c r="E90" s="552">
        <f>'LAPI NORTE'!L71</f>
        <v>400</v>
      </c>
      <c r="F90" s="554">
        <f>'LAPI CENTRO'!N57</f>
        <v>0</v>
      </c>
      <c r="G90" s="551">
        <f>'LAPI SUL'!M73</f>
        <v>2500</v>
      </c>
      <c r="H90" s="554">
        <f>'LAPI MADEIRA'!N73</f>
        <v>0</v>
      </c>
      <c r="I90" s="561"/>
      <c r="J90" s="34"/>
      <c r="K90" s="33"/>
      <c r="L90" s="110"/>
      <c r="M90" s="660">
        <f t="shared" si="10"/>
        <v>2900</v>
      </c>
      <c r="N90" s="110"/>
      <c r="O90" s="650">
        <v>200</v>
      </c>
      <c r="P90" s="109"/>
      <c r="Q90" s="205"/>
    </row>
    <row r="91" spans="1:19" s="11" customFormat="1" ht="11.25" customHeight="1" outlineLevel="2">
      <c r="A91" s="22"/>
      <c r="B91" s="23"/>
      <c r="C91" s="11" t="s">
        <v>231</v>
      </c>
      <c r="D91" s="551"/>
      <c r="E91" s="552">
        <f>'LAPI NORTE'!L72</f>
        <v>0</v>
      </c>
      <c r="F91" s="554">
        <f>'LAPI CENTRO'!N58</f>
        <v>0</v>
      </c>
      <c r="G91" s="551">
        <f>'LAPI SUL'!M74</f>
        <v>0</v>
      </c>
      <c r="H91" s="554">
        <f>'LAPI MADEIRA'!N74</f>
        <v>0</v>
      </c>
      <c r="I91" s="561">
        <f>'ARCO IRIS'!D57</f>
        <v>1000</v>
      </c>
      <c r="J91" s="34"/>
      <c r="K91" s="33"/>
      <c r="L91" s="110"/>
      <c r="M91" s="660">
        <f t="shared" si="10"/>
        <v>1000</v>
      </c>
      <c r="N91" s="110"/>
      <c r="O91" s="650">
        <v>10890</v>
      </c>
      <c r="P91" s="109"/>
      <c r="Q91" s="128"/>
    </row>
    <row r="92" spans="1:19" s="13" customFormat="1" ht="14.25" customHeight="1" outlineLevel="1">
      <c r="A92" s="21"/>
      <c r="B92" s="21" t="s">
        <v>87</v>
      </c>
      <c r="C92" s="21"/>
      <c r="D92" s="557">
        <f t="shared" ref="D92:I92" si="13">SUM(D93:D93)</f>
        <v>0</v>
      </c>
      <c r="E92" s="556">
        <f t="shared" si="13"/>
        <v>0</v>
      </c>
      <c r="F92" s="557">
        <f t="shared" si="13"/>
        <v>0</v>
      </c>
      <c r="G92" s="557">
        <f t="shared" si="13"/>
        <v>0</v>
      </c>
      <c r="H92" s="640">
        <f t="shared" si="13"/>
        <v>0</v>
      </c>
      <c r="I92" s="557">
        <f t="shared" si="13"/>
        <v>0</v>
      </c>
      <c r="J92" s="36"/>
      <c r="K92" s="33">
        <f>G92+E92+H92+F92</f>
        <v>0</v>
      </c>
      <c r="L92" s="110">
        <f>K92/K48</f>
        <v>0</v>
      </c>
      <c r="M92" s="659">
        <f t="shared" si="10"/>
        <v>0</v>
      </c>
      <c r="N92" s="110"/>
      <c r="O92" s="649">
        <v>0</v>
      </c>
      <c r="P92" s="109">
        <f>O92/O48</f>
        <v>0</v>
      </c>
      <c r="Q92" s="205"/>
    </row>
    <row r="93" spans="1:19" s="11" customFormat="1" ht="11.25" customHeight="1" outlineLevel="2">
      <c r="A93" s="22"/>
      <c r="B93" s="23"/>
      <c r="C93" s="22" t="s">
        <v>44</v>
      </c>
      <c r="D93" s="561"/>
      <c r="E93" s="552">
        <f>'LAPI NORTE'!L72</f>
        <v>0</v>
      </c>
      <c r="F93" s="555">
        <f>'LAPI CENTRO'!N63</f>
        <v>0</v>
      </c>
      <c r="G93" s="569">
        <f>'LAPI SUL'!M78</f>
        <v>0</v>
      </c>
      <c r="H93" s="555">
        <f>'LAPI MADEIRA'!N73</f>
        <v>0</v>
      </c>
      <c r="I93" s="562"/>
      <c r="J93" s="34"/>
      <c r="K93" s="33">
        <f>G93+E93+H93+F93</f>
        <v>0</v>
      </c>
      <c r="L93" s="110"/>
      <c r="M93" s="660">
        <f t="shared" si="10"/>
        <v>0</v>
      </c>
      <c r="N93" s="110"/>
      <c r="O93" s="650">
        <v>0</v>
      </c>
      <c r="P93" s="109"/>
      <c r="Q93" s="128"/>
    </row>
    <row r="94" spans="1:19" s="13" customFormat="1" ht="14.25" customHeight="1" outlineLevel="1">
      <c r="A94" s="21"/>
      <c r="B94" s="21" t="s">
        <v>88</v>
      </c>
      <c r="C94" s="21"/>
      <c r="D94" s="557">
        <f t="shared" ref="D94:I94" si="14">SUM(D95:D95)</f>
        <v>0</v>
      </c>
      <c r="E94" s="556">
        <f t="shared" si="14"/>
        <v>25000</v>
      </c>
      <c r="F94" s="557">
        <f t="shared" si="14"/>
        <v>38000</v>
      </c>
      <c r="G94" s="557">
        <f t="shared" si="14"/>
        <v>18000</v>
      </c>
      <c r="H94" s="640">
        <f t="shared" si="14"/>
        <v>11000</v>
      </c>
      <c r="I94" s="557">
        <f t="shared" si="14"/>
        <v>2000</v>
      </c>
      <c r="J94" s="36"/>
      <c r="K94" s="33">
        <f>G94+E94+H94+F94</f>
        <v>92000</v>
      </c>
      <c r="L94" s="110">
        <f>K94/K46</f>
        <v>2.6934222432623955E-2</v>
      </c>
      <c r="M94" s="659">
        <f t="shared" si="10"/>
        <v>94000</v>
      </c>
      <c r="N94" s="110">
        <f>M94/M46</f>
        <v>2.4492341970267239E-2</v>
      </c>
      <c r="O94" s="649">
        <v>105000</v>
      </c>
      <c r="P94" s="109">
        <f>O94/O46</f>
        <v>2.8436843529542778E-2</v>
      </c>
      <c r="Q94" s="83">
        <f>'LAPI NORTE'!J74+'LAPI CENTRO'!L60+'LAPI SUL'!K75+'LAPI MADEIRA'!L76+'ARCO IRIS'!I58</f>
        <v>83874.074999999997</v>
      </c>
    </row>
    <row r="95" spans="1:19" s="11" customFormat="1" ht="11.25" customHeight="1" outlineLevel="2">
      <c r="A95" s="22"/>
      <c r="B95" s="23"/>
      <c r="C95" s="22" t="s">
        <v>89</v>
      </c>
      <c r="D95" s="561"/>
      <c r="E95" s="552">
        <f>'LAPI NORTE'!L75</f>
        <v>25000</v>
      </c>
      <c r="F95" s="555">
        <f>'LAPI CENTRO'!N61</f>
        <v>38000</v>
      </c>
      <c r="G95" s="569">
        <f>'LAPI SUL'!M76</f>
        <v>18000</v>
      </c>
      <c r="H95" s="555">
        <f>'LAPI MADEIRA'!N77</f>
        <v>11000</v>
      </c>
      <c r="I95" s="562">
        <f>'ARCO IRIS'!D58</f>
        <v>2000</v>
      </c>
      <c r="J95" s="34"/>
      <c r="K95" s="33">
        <f>G95+E95+H95+F95</f>
        <v>92000</v>
      </c>
      <c r="L95" s="110"/>
      <c r="M95" s="660">
        <f t="shared" si="10"/>
        <v>94000</v>
      </c>
      <c r="N95" s="110"/>
      <c r="O95" s="650">
        <v>105000</v>
      </c>
      <c r="P95" s="109"/>
      <c r="Q95" s="83"/>
    </row>
    <row r="96" spans="1:19" s="14" customFormat="1" ht="14.25" customHeight="1" outlineLevel="1">
      <c r="A96" s="24"/>
      <c r="B96" s="24" t="s">
        <v>45</v>
      </c>
      <c r="C96" s="24"/>
      <c r="D96" s="558">
        <f t="shared" ref="D96:I96" si="15">SUM(D97:D98)</f>
        <v>0</v>
      </c>
      <c r="E96" s="558">
        <f t="shared" si="15"/>
        <v>0</v>
      </c>
      <c r="F96" s="558">
        <f t="shared" si="15"/>
        <v>0</v>
      </c>
      <c r="G96" s="558">
        <f t="shared" si="15"/>
        <v>0</v>
      </c>
      <c r="H96" s="641">
        <f t="shared" si="15"/>
        <v>0</v>
      </c>
      <c r="I96" s="558">
        <f t="shared" si="15"/>
        <v>0</v>
      </c>
      <c r="J96" s="37"/>
      <c r="K96" s="33">
        <f>G96+E96+H96+F96</f>
        <v>0</v>
      </c>
      <c r="L96" s="110">
        <f>K96/K46</f>
        <v>0</v>
      </c>
      <c r="M96" s="659">
        <f t="shared" si="10"/>
        <v>0</v>
      </c>
      <c r="N96" s="110"/>
      <c r="O96" s="649">
        <v>300</v>
      </c>
      <c r="P96" s="109">
        <f>O96/O46</f>
        <v>8.1248124370122225E-5</v>
      </c>
      <c r="Q96" s="83">
        <f>'LAPI NORTE'!J76+'LAPI CENTRO'!L62+'LAPI SUL'!K79+'LAPI MADEIRA'!L80+'ARCO IRIS'!I60</f>
        <v>50271.975000000006</v>
      </c>
    </row>
    <row r="97" spans="1:17" s="14" customFormat="1" ht="14.25" customHeight="1" outlineLevel="1">
      <c r="A97" s="24"/>
      <c r="B97" s="24"/>
      <c r="C97" s="112" t="s">
        <v>49</v>
      </c>
      <c r="D97" s="562">
        <f>'ASA SEDE'!D68</f>
        <v>0</v>
      </c>
      <c r="E97" s="570"/>
      <c r="F97" s="558"/>
      <c r="G97" s="558"/>
      <c r="H97" s="641"/>
      <c r="I97" s="562">
        <v>0</v>
      </c>
      <c r="J97" s="37"/>
      <c r="K97" s="33"/>
      <c r="L97" s="110"/>
      <c r="M97" s="660">
        <f t="shared" si="10"/>
        <v>0</v>
      </c>
      <c r="N97" s="110"/>
      <c r="O97" s="650">
        <v>0</v>
      </c>
      <c r="P97" s="109"/>
      <c r="Q97" s="128"/>
    </row>
    <row r="98" spans="1:17" s="11" customFormat="1" ht="11.25" customHeight="1" outlineLevel="2">
      <c r="B98" s="10"/>
      <c r="C98" s="11" t="s">
        <v>90</v>
      </c>
      <c r="D98" s="571">
        <f>'ASA SEDE'!D69</f>
        <v>0</v>
      </c>
      <c r="E98" s="559"/>
      <c r="F98" s="559"/>
      <c r="G98" s="559">
        <f>'LAPI SUL'!M79</f>
        <v>0</v>
      </c>
      <c r="H98" s="642"/>
      <c r="I98" s="572"/>
      <c r="J98" s="34"/>
      <c r="K98" s="38">
        <f>G98+E98+H98+F98</f>
        <v>0</v>
      </c>
      <c r="L98" s="111"/>
      <c r="M98" s="662">
        <f t="shared" si="10"/>
        <v>0</v>
      </c>
      <c r="N98" s="111"/>
      <c r="O98" s="655">
        <v>300</v>
      </c>
      <c r="P98" s="105"/>
      <c r="Q98" s="128"/>
    </row>
    <row r="99" spans="1:17">
      <c r="E99" s="547"/>
      <c r="F99" s="548"/>
      <c r="O99"/>
    </row>
    <row r="100" spans="1:17">
      <c r="E100" s="547"/>
      <c r="F100" s="548"/>
    </row>
    <row r="101" spans="1:17">
      <c r="E101" s="547"/>
      <c r="F101" s="548"/>
    </row>
    <row r="102" spans="1:17">
      <c r="E102" s="547"/>
      <c r="F102" s="547"/>
    </row>
    <row r="103" spans="1:17">
      <c r="E103" s="547"/>
      <c r="F103" s="547"/>
    </row>
    <row r="104" spans="1:17">
      <c r="E104" s="547"/>
      <c r="F104" s="547"/>
    </row>
    <row r="105" spans="1:17">
      <c r="E105" s="547"/>
      <c r="F105" s="547"/>
    </row>
    <row r="106" spans="1:17">
      <c r="E106" s="547"/>
      <c r="F106" s="547"/>
    </row>
    <row r="107" spans="1:17">
      <c r="E107" s="547"/>
      <c r="F107" s="547"/>
    </row>
    <row r="108" spans="1:17">
      <c r="E108" s="547"/>
      <c r="F108" s="547"/>
    </row>
    <row r="109" spans="1:17">
      <c r="E109" s="547"/>
      <c r="F109" s="547"/>
    </row>
    <row r="110" spans="1:17">
      <c r="E110" s="547"/>
      <c r="F110" s="547"/>
    </row>
    <row r="111" spans="1:17">
      <c r="E111" s="547"/>
      <c r="F111" s="547"/>
    </row>
    <row r="112" spans="1:17">
      <c r="E112" s="547"/>
      <c r="F112" s="547"/>
    </row>
    <row r="113" spans="5:6">
      <c r="E113" s="547"/>
      <c r="F113" s="547"/>
    </row>
    <row r="114" spans="5:6">
      <c r="E114" s="547"/>
      <c r="F114" s="547"/>
    </row>
    <row r="115" spans="5:6">
      <c r="E115" s="547"/>
      <c r="F115" s="547"/>
    </row>
    <row r="116" spans="5:6">
      <c r="E116" s="547"/>
      <c r="F116" s="547"/>
    </row>
    <row r="117" spans="5:6">
      <c r="E117" s="547"/>
      <c r="F117" s="547"/>
    </row>
    <row r="118" spans="5:6">
      <c r="E118" s="547"/>
      <c r="F118" s="547"/>
    </row>
    <row r="119" spans="5:6">
      <c r="E119" s="547"/>
      <c r="F119" s="547"/>
    </row>
    <row r="120" spans="5:6">
      <c r="E120" s="547"/>
      <c r="F120" s="547"/>
    </row>
    <row r="121" spans="5:6">
      <c r="E121" s="547"/>
      <c r="F121" s="547"/>
    </row>
    <row r="122" spans="5:6">
      <c r="E122" s="547"/>
      <c r="F122" s="547"/>
    </row>
    <row r="123" spans="5:6">
      <c r="E123" s="547"/>
      <c r="F123" s="547"/>
    </row>
    <row r="124" spans="5:6">
      <c r="E124" s="547"/>
      <c r="F124" s="547"/>
    </row>
    <row r="125" spans="5:6">
      <c r="E125" s="547"/>
      <c r="F125" s="547"/>
    </row>
    <row r="126" spans="5:6">
      <c r="E126" s="547"/>
      <c r="F126" s="547"/>
    </row>
    <row r="127" spans="5:6">
      <c r="E127" s="547"/>
      <c r="F127" s="547"/>
    </row>
    <row r="128" spans="5:6">
      <c r="E128" s="547"/>
      <c r="F128" s="547"/>
    </row>
    <row r="129" spans="5:6">
      <c r="E129" s="547"/>
      <c r="F129" s="547"/>
    </row>
    <row r="130" spans="5:6">
      <c r="E130" s="547"/>
      <c r="F130" s="547"/>
    </row>
    <row r="131" spans="5:6">
      <c r="E131" s="547"/>
      <c r="F131" s="547"/>
    </row>
    <row r="132" spans="5:6">
      <c r="E132" s="547"/>
      <c r="F132" s="547"/>
    </row>
    <row r="133" spans="5:6">
      <c r="E133" s="547"/>
      <c r="F133" s="547"/>
    </row>
    <row r="134" spans="5:6">
      <c r="E134" s="547"/>
      <c r="F134" s="547"/>
    </row>
  </sheetData>
  <mergeCells count="1">
    <mergeCell ref="D6:I6"/>
  </mergeCells>
  <phoneticPr fontId="4" type="noConversion"/>
  <printOptions horizontalCentered="1" verticalCentered="1" gridLinesSet="0"/>
  <pageMargins left="0.19685039370078741" right="7.874015748031496E-2" top="7.874015748031496E-2" bottom="0.11811023622047245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72"/>
  <sheetViews>
    <sheetView showGridLines="0" zoomScale="119" zoomScaleNormal="88" workbookViewId="0">
      <selection activeCell="K69" sqref="K69"/>
    </sheetView>
  </sheetViews>
  <sheetFormatPr baseColWidth="10" defaultColWidth="9" defaultRowHeight="18" outlineLevelRow="2"/>
  <cols>
    <col min="1" max="1" width="3.19921875" style="15" customWidth="1"/>
    <col min="2" max="2" width="3.19921875" style="3" customWidth="1"/>
    <col min="3" max="3" width="27.796875" style="5" customWidth="1"/>
    <col min="4" max="4" width="12.796875" style="16" customWidth="1"/>
    <col min="5" max="5" width="13.19921875" style="16" customWidth="1"/>
    <col min="6" max="6" width="12.796875" style="16" customWidth="1"/>
    <col min="7" max="7" width="12.19921875" style="16" hidden="1" customWidth="1"/>
    <col min="8" max="8" width="3.3984375" style="87" customWidth="1"/>
    <col min="9" max="9" width="12.59765625" style="62" customWidth="1"/>
    <col min="10" max="10" width="4.19921875" style="5" customWidth="1"/>
    <col min="11" max="11" width="12.59765625" style="26" customWidth="1"/>
    <col min="12" max="12" width="16.796875" style="5" customWidth="1"/>
    <col min="13" max="16384" width="9" style="5"/>
  </cols>
  <sheetData>
    <row r="1" spans="1:12">
      <c r="C1" s="18" t="s">
        <v>91</v>
      </c>
      <c r="I1" s="40"/>
    </row>
    <row r="2" spans="1:12" s="3" customFormat="1" ht="24" customHeight="1">
      <c r="B2" s="66"/>
      <c r="C2" s="17" t="s">
        <v>92</v>
      </c>
      <c r="D2" s="16"/>
      <c r="E2" s="16"/>
      <c r="F2" s="16"/>
      <c r="G2" s="16"/>
      <c r="H2" s="87"/>
      <c r="I2" s="65"/>
      <c r="K2" s="44"/>
    </row>
    <row r="3" spans="1:12" s="4" customFormat="1" ht="38" customHeight="1">
      <c r="A3" s="78" t="s">
        <v>93</v>
      </c>
      <c r="B3" s="44"/>
      <c r="C3" s="44"/>
      <c r="D3" s="16"/>
      <c r="E3" s="16"/>
      <c r="F3" s="16"/>
      <c r="G3" s="16"/>
      <c r="H3" s="87"/>
      <c r="I3" s="64"/>
      <c r="K3" s="44"/>
    </row>
    <row r="4" spans="1:12" s="4" customFormat="1" ht="20" customHeight="1">
      <c r="A4" s="671" t="s">
        <v>236</v>
      </c>
      <c r="B4" s="671"/>
      <c r="C4" s="671"/>
      <c r="E4" s="220"/>
      <c r="F4" s="191"/>
      <c r="H4" s="87"/>
      <c r="I4" s="64"/>
      <c r="K4" s="44"/>
    </row>
    <row r="5" spans="1:12" ht="25" customHeight="1">
      <c r="A5" s="26"/>
      <c r="B5" s="44"/>
      <c r="C5" s="26"/>
      <c r="D5" s="101">
        <v>2025</v>
      </c>
      <c r="E5" s="188">
        <v>45870</v>
      </c>
      <c r="F5" s="188" t="s">
        <v>232</v>
      </c>
      <c r="G5" s="45" t="s">
        <v>94</v>
      </c>
      <c r="I5" s="93" t="s">
        <v>233</v>
      </c>
      <c r="K5" s="227">
        <v>2026</v>
      </c>
      <c r="L5" s="218" t="s">
        <v>235</v>
      </c>
    </row>
    <row r="6" spans="1:12" s="199" customFormat="1" ht="21" customHeight="1">
      <c r="A6" s="46" t="s">
        <v>15</v>
      </c>
      <c r="B6" s="46"/>
      <c r="C6" s="46"/>
      <c r="D6" s="224">
        <v>-26975.338</v>
      </c>
      <c r="E6" s="236">
        <v>-17983.558666666668</v>
      </c>
      <c r="F6" s="238">
        <f>F7-F30</f>
        <v>-1256.83</v>
      </c>
      <c r="G6" s="230">
        <f>D6-E6</f>
        <v>-8991.779333333332</v>
      </c>
      <c r="H6" s="206"/>
      <c r="I6" s="56">
        <f>I7-I30</f>
        <v>-4874.8149999999987</v>
      </c>
      <c r="J6" s="207"/>
      <c r="K6" s="234">
        <f>K7-K30</f>
        <v>254.04687500000182</v>
      </c>
      <c r="L6" s="219">
        <f>(K6-D6)/D6</f>
        <v>-1.0094177457572544</v>
      </c>
    </row>
    <row r="7" spans="1:12" s="200" customFormat="1" ht="21" customHeight="1">
      <c r="A7" s="49" t="s">
        <v>6</v>
      </c>
      <c r="B7" s="49"/>
      <c r="C7" s="49"/>
      <c r="D7" s="50">
        <v>6934.6620000000012</v>
      </c>
      <c r="E7" s="192">
        <v>4623.1080000000011</v>
      </c>
      <c r="F7" s="195">
        <f>F8+F25</f>
        <v>9795.35</v>
      </c>
      <c r="G7" s="230">
        <f>D7-E7</f>
        <v>2311.5540000000001</v>
      </c>
      <c r="H7" s="206"/>
      <c r="I7" s="56">
        <f>I8+I25</f>
        <v>11703.455000000002</v>
      </c>
      <c r="J7" s="208"/>
      <c r="K7" s="50">
        <f>SUM(K8+K25)</f>
        <v>15434.046875000002</v>
      </c>
      <c r="L7" s="219">
        <f t="shared" ref="L7" si="0">(K7-D7)/D7</f>
        <v>1.225637943853644</v>
      </c>
    </row>
    <row r="8" spans="1:12" s="201" customFormat="1" ht="14.25" customHeight="1" outlineLevel="1">
      <c r="A8" s="51"/>
      <c r="B8" s="52" t="s">
        <v>7</v>
      </c>
      <c r="C8" s="51"/>
      <c r="D8" s="53">
        <v>6934.6620000000012</v>
      </c>
      <c r="E8" s="192">
        <v>4623.1080000000011</v>
      </c>
      <c r="F8" s="195">
        <v>3816.21</v>
      </c>
      <c r="G8" s="230">
        <f>D8-E8</f>
        <v>2311.5540000000001</v>
      </c>
      <c r="H8" s="206"/>
      <c r="I8" s="56">
        <f t="shared" ref="I8:I71" si="1">F8/8*12</f>
        <v>5724.3150000000005</v>
      </c>
      <c r="J8" s="209"/>
      <c r="K8" s="53">
        <f>SUM(K9:K12)</f>
        <v>5867.4228750000002</v>
      </c>
      <c r="L8" s="219">
        <f>(K8-D8)/D8</f>
        <v>-0.15389922753264698</v>
      </c>
    </row>
    <row r="9" spans="1:12" s="11" customFormat="1" ht="11.25" customHeight="1" outlineLevel="2">
      <c r="A9" s="26"/>
      <c r="B9" s="44"/>
      <c r="C9" s="26" t="s">
        <v>23</v>
      </c>
      <c r="D9" s="63"/>
      <c r="E9" s="190">
        <v>0</v>
      </c>
      <c r="F9" s="196"/>
      <c r="G9" s="231">
        <f t="shared" ref="G9:G71" si="2">D9-E9</f>
        <v>0</v>
      </c>
      <c r="H9" s="210"/>
      <c r="I9" s="221">
        <f t="shared" si="1"/>
        <v>0</v>
      </c>
      <c r="J9" s="211"/>
      <c r="K9" s="124"/>
    </row>
    <row r="10" spans="1:12" s="11" customFormat="1" ht="11.25" customHeight="1" outlineLevel="2">
      <c r="A10" s="26"/>
      <c r="B10" s="44"/>
      <c r="C10" s="26" t="s">
        <v>97</v>
      </c>
      <c r="D10" s="63"/>
      <c r="E10" s="190">
        <v>0</v>
      </c>
      <c r="F10" s="196"/>
      <c r="G10" s="231">
        <f t="shared" si="2"/>
        <v>0</v>
      </c>
      <c r="H10" s="210"/>
      <c r="I10" s="221">
        <f t="shared" si="1"/>
        <v>0</v>
      </c>
      <c r="J10" s="211"/>
      <c r="K10" s="124"/>
    </row>
    <row r="11" spans="1:12" s="11" customFormat="1" ht="11.25" customHeight="1" outlineLevel="2">
      <c r="A11" s="26"/>
      <c r="B11" s="44"/>
      <c r="C11" s="26" t="s">
        <v>22</v>
      </c>
      <c r="D11" s="63">
        <v>6934.6620000000012</v>
      </c>
      <c r="E11" s="190">
        <v>4623.1080000000011</v>
      </c>
      <c r="F11" s="194">
        <v>3816.21</v>
      </c>
      <c r="G11" s="231">
        <f t="shared" si="2"/>
        <v>2311.5540000000001</v>
      </c>
      <c r="H11" s="210"/>
      <c r="I11" s="221">
        <f>F11/8*12</f>
        <v>5724.3150000000005</v>
      </c>
      <c r="J11" s="211"/>
      <c r="K11" s="124">
        <f>I11*1.025</f>
        <v>5867.4228750000002</v>
      </c>
    </row>
    <row r="12" spans="1:12" s="11" customFormat="1" ht="11.25" customHeight="1" outlineLevel="2">
      <c r="A12" s="26"/>
      <c r="B12" s="44"/>
      <c r="C12" s="26" t="s">
        <v>29</v>
      </c>
      <c r="D12" s="63"/>
      <c r="E12" s="190">
        <v>0</v>
      </c>
      <c r="F12" s="196"/>
      <c r="G12" s="231">
        <f t="shared" si="2"/>
        <v>0</v>
      </c>
      <c r="H12" s="210"/>
      <c r="I12" s="221">
        <f t="shared" si="1"/>
        <v>0</v>
      </c>
      <c r="J12" s="211"/>
      <c r="K12" s="124"/>
    </row>
    <row r="13" spans="1:12" s="201" customFormat="1" ht="14.25" customHeight="1" outlineLevel="1">
      <c r="A13" s="51"/>
      <c r="B13" s="52" t="s">
        <v>98</v>
      </c>
      <c r="C13" s="51"/>
      <c r="D13" s="53">
        <v>0</v>
      </c>
      <c r="E13" s="189">
        <v>0</v>
      </c>
      <c r="F13" s="195"/>
      <c r="G13" s="230">
        <f t="shared" si="2"/>
        <v>0</v>
      </c>
      <c r="H13" s="206"/>
      <c r="I13" s="222">
        <f t="shared" si="1"/>
        <v>0</v>
      </c>
      <c r="J13" s="209"/>
      <c r="K13" s="133">
        <v>0</v>
      </c>
    </row>
    <row r="14" spans="1:12" s="11" customFormat="1" ht="11.25" customHeight="1" outlineLevel="2">
      <c r="A14" s="26"/>
      <c r="B14" s="44"/>
      <c r="C14" s="26" t="s">
        <v>99</v>
      </c>
      <c r="D14" s="63"/>
      <c r="E14" s="190">
        <v>0</v>
      </c>
      <c r="F14" s="196"/>
      <c r="G14" s="231">
        <f t="shared" si="2"/>
        <v>0</v>
      </c>
      <c r="H14" s="210"/>
      <c r="I14" s="221">
        <f t="shared" si="1"/>
        <v>0</v>
      </c>
      <c r="J14" s="211"/>
      <c r="K14" s="124"/>
    </row>
    <row r="15" spans="1:12" s="11" customFormat="1" ht="11.25" customHeight="1" outlineLevel="2">
      <c r="A15" s="26"/>
      <c r="B15" s="44"/>
      <c r="C15" s="26" t="s">
        <v>100</v>
      </c>
      <c r="D15" s="63"/>
      <c r="E15" s="190">
        <v>0</v>
      </c>
      <c r="F15" s="196"/>
      <c r="G15" s="231">
        <f t="shared" si="2"/>
        <v>0</v>
      </c>
      <c r="H15" s="210"/>
      <c r="I15" s="221">
        <f t="shared" si="1"/>
        <v>0</v>
      </c>
      <c r="J15" s="211"/>
      <c r="K15" s="124"/>
    </row>
    <row r="16" spans="1:12" s="11" customFormat="1" ht="11.25" customHeight="1" outlineLevel="2">
      <c r="A16" s="26"/>
      <c r="B16" s="44"/>
      <c r="C16" s="26" t="s">
        <v>101</v>
      </c>
      <c r="D16" s="63"/>
      <c r="E16" s="190">
        <v>0</v>
      </c>
      <c r="F16" s="196"/>
      <c r="G16" s="231">
        <f t="shared" si="2"/>
        <v>0</v>
      </c>
      <c r="H16" s="210"/>
      <c r="I16" s="221">
        <f t="shared" si="1"/>
        <v>0</v>
      </c>
      <c r="J16" s="211"/>
      <c r="K16" s="124"/>
    </row>
    <row r="17" spans="1:13" s="11" customFormat="1" ht="11.25" customHeight="1" outlineLevel="2">
      <c r="A17" s="26"/>
      <c r="B17" s="44"/>
      <c r="C17" s="26" t="s">
        <v>32</v>
      </c>
      <c r="D17" s="63"/>
      <c r="E17" s="190">
        <v>0</v>
      </c>
      <c r="F17" s="196"/>
      <c r="G17" s="231">
        <f t="shared" si="2"/>
        <v>0</v>
      </c>
      <c r="H17" s="210"/>
      <c r="I17" s="221">
        <f t="shared" si="1"/>
        <v>0</v>
      </c>
      <c r="J17" s="211"/>
      <c r="K17" s="124"/>
    </row>
    <row r="18" spans="1:13" s="201" customFormat="1" ht="14.25" customHeight="1" outlineLevel="1">
      <c r="A18" s="51"/>
      <c r="B18" s="52" t="s">
        <v>8</v>
      </c>
      <c r="C18" s="52"/>
      <c r="D18" s="53">
        <v>0</v>
      </c>
      <c r="E18" s="189">
        <v>0</v>
      </c>
      <c r="F18" s="195"/>
      <c r="G18" s="230">
        <f t="shared" si="2"/>
        <v>0</v>
      </c>
      <c r="H18" s="206"/>
      <c r="I18" s="222">
        <f t="shared" si="1"/>
        <v>0</v>
      </c>
      <c r="J18" s="209"/>
      <c r="K18" s="133">
        <v>0</v>
      </c>
    </row>
    <row r="19" spans="1:13" s="11" customFormat="1" ht="11.25" customHeight="1" outlineLevel="2">
      <c r="A19" s="26"/>
      <c r="B19" s="44"/>
      <c r="C19" s="26" t="s">
        <v>102</v>
      </c>
      <c r="D19" s="63"/>
      <c r="E19" s="190">
        <v>0</v>
      </c>
      <c r="F19" s="196"/>
      <c r="G19" s="231">
        <f t="shared" si="2"/>
        <v>0</v>
      </c>
      <c r="H19" s="210"/>
      <c r="I19" s="221">
        <f t="shared" si="1"/>
        <v>0</v>
      </c>
      <c r="J19" s="211"/>
      <c r="K19" s="124"/>
    </row>
    <row r="20" spans="1:13" s="11" customFormat="1" ht="11.25" customHeight="1" outlineLevel="2">
      <c r="A20" s="26"/>
      <c r="B20" s="44"/>
      <c r="C20" s="26" t="s">
        <v>103</v>
      </c>
      <c r="D20" s="63"/>
      <c r="E20" s="190">
        <v>0</v>
      </c>
      <c r="F20" s="196"/>
      <c r="G20" s="231">
        <f t="shared" si="2"/>
        <v>0</v>
      </c>
      <c r="H20" s="210"/>
      <c r="I20" s="221">
        <f t="shared" si="1"/>
        <v>0</v>
      </c>
      <c r="J20" s="211"/>
      <c r="K20" s="124"/>
    </row>
    <row r="21" spans="1:13" s="11" customFormat="1" ht="11.25" customHeight="1" outlineLevel="2">
      <c r="A21" s="26"/>
      <c r="B21" s="44"/>
      <c r="C21" s="26" t="s">
        <v>42</v>
      </c>
      <c r="D21" s="63"/>
      <c r="E21" s="190">
        <v>0</v>
      </c>
      <c r="F21" s="196"/>
      <c r="G21" s="231">
        <f t="shared" si="2"/>
        <v>0</v>
      </c>
      <c r="H21" s="210"/>
      <c r="I21" s="221">
        <f t="shared" si="1"/>
        <v>0</v>
      </c>
      <c r="J21" s="211"/>
      <c r="K21" s="124"/>
    </row>
    <row r="22" spans="1:13" s="11" customFormat="1" ht="11.25" customHeight="1" outlineLevel="2">
      <c r="A22" s="26"/>
      <c r="B22" s="44"/>
      <c r="C22" s="26" t="s">
        <v>104</v>
      </c>
      <c r="D22" s="63"/>
      <c r="E22" s="190">
        <v>0</v>
      </c>
      <c r="F22" s="196"/>
      <c r="G22" s="231">
        <f t="shared" si="2"/>
        <v>0</v>
      </c>
      <c r="H22" s="210"/>
      <c r="I22" s="221">
        <f t="shared" si="1"/>
        <v>0</v>
      </c>
      <c r="J22" s="211"/>
      <c r="K22" s="124"/>
    </row>
    <row r="23" spans="1:13" s="201" customFormat="1" ht="16" customHeight="1" outlineLevel="1">
      <c r="A23" s="51"/>
      <c r="B23" s="52" t="s">
        <v>48</v>
      </c>
      <c r="C23" s="51"/>
      <c r="D23" s="53">
        <v>0</v>
      </c>
      <c r="E23" s="189">
        <v>0</v>
      </c>
      <c r="F23" s="195"/>
      <c r="G23" s="230">
        <f t="shared" si="2"/>
        <v>0</v>
      </c>
      <c r="H23" s="206"/>
      <c r="I23" s="222">
        <f t="shared" si="1"/>
        <v>0</v>
      </c>
      <c r="J23" s="209"/>
      <c r="K23" s="133"/>
    </row>
    <row r="24" spans="1:13" s="11" customFormat="1" ht="11.25" customHeight="1" outlineLevel="2">
      <c r="A24" s="26"/>
      <c r="B24" s="44"/>
      <c r="C24" s="26" t="s">
        <v>49</v>
      </c>
      <c r="D24" s="63">
        <v>0</v>
      </c>
      <c r="E24" s="190">
        <v>0</v>
      </c>
      <c r="F24" s="196"/>
      <c r="G24" s="231">
        <f t="shared" si="2"/>
        <v>0</v>
      </c>
      <c r="H24" s="210"/>
      <c r="I24" s="221">
        <f t="shared" si="1"/>
        <v>0</v>
      </c>
      <c r="J24" s="211"/>
      <c r="K24" s="124"/>
    </row>
    <row r="25" spans="1:13" s="201" customFormat="1" ht="14.25" customHeight="1" outlineLevel="1">
      <c r="A25" s="51"/>
      <c r="B25" s="52" t="s">
        <v>45</v>
      </c>
      <c r="C25" s="51"/>
      <c r="D25" s="53">
        <v>0</v>
      </c>
      <c r="E25" s="189">
        <v>0</v>
      </c>
      <c r="F25" s="195">
        <v>5979.14</v>
      </c>
      <c r="G25" s="230">
        <f t="shared" si="2"/>
        <v>0</v>
      </c>
      <c r="H25" s="206"/>
      <c r="I25" s="56">
        <f>F25</f>
        <v>5979.14</v>
      </c>
      <c r="J25" s="217"/>
      <c r="K25" s="53">
        <f>F25*1.6</f>
        <v>9566.6240000000016</v>
      </c>
      <c r="L25" s="219"/>
    </row>
    <row r="26" spans="1:13" s="11" customFormat="1" ht="11.25" customHeight="1" outlineLevel="2">
      <c r="A26" s="26"/>
      <c r="B26" s="44"/>
      <c r="C26" s="26" t="s">
        <v>46</v>
      </c>
      <c r="D26" s="63">
        <v>0</v>
      </c>
      <c r="E26" s="190">
        <v>0</v>
      </c>
      <c r="F26" s="196"/>
      <c r="G26" s="231">
        <f t="shared" si="2"/>
        <v>0</v>
      </c>
      <c r="H26" s="210"/>
      <c r="I26" s="221">
        <f t="shared" si="1"/>
        <v>0</v>
      </c>
      <c r="J26" s="211"/>
      <c r="K26" s="124"/>
    </row>
    <row r="27" spans="1:13" s="11" customFormat="1" ht="11.25" customHeight="1" outlineLevel="2">
      <c r="A27" s="26"/>
      <c r="B27" s="44"/>
      <c r="C27" s="193" t="s">
        <v>234</v>
      </c>
      <c r="D27" s="63"/>
      <c r="E27" s="190"/>
      <c r="F27" s="225">
        <v>5979.14</v>
      </c>
      <c r="G27" s="231"/>
      <c r="H27" s="210"/>
      <c r="I27" s="221">
        <f>F27</f>
        <v>5979.14</v>
      </c>
      <c r="J27" s="211"/>
      <c r="K27" s="124">
        <f>K25</f>
        <v>9566.6240000000016</v>
      </c>
      <c r="M27" s="198" t="s">
        <v>246</v>
      </c>
    </row>
    <row r="28" spans="1:13" s="11" customFormat="1" ht="11.25" customHeight="1" outlineLevel="2">
      <c r="A28" s="26"/>
      <c r="B28" s="44"/>
      <c r="C28" s="26" t="s">
        <v>9</v>
      </c>
      <c r="D28" s="63">
        <v>0</v>
      </c>
      <c r="E28" s="190">
        <v>0</v>
      </c>
      <c r="F28" s="196"/>
      <c r="G28" s="231">
        <f t="shared" si="2"/>
        <v>0</v>
      </c>
      <c r="H28" s="210"/>
      <c r="I28" s="221">
        <f t="shared" si="1"/>
        <v>0</v>
      </c>
      <c r="J28" s="211"/>
      <c r="K28" s="124"/>
    </row>
    <row r="29" spans="1:13" s="11" customFormat="1" ht="11.25" customHeight="1" outlineLevel="2">
      <c r="A29" s="26"/>
      <c r="B29" s="44"/>
      <c r="C29" s="26" t="s">
        <v>105</v>
      </c>
      <c r="D29" s="63">
        <v>0</v>
      </c>
      <c r="E29" s="190">
        <v>0</v>
      </c>
      <c r="F29" s="196"/>
      <c r="G29" s="231">
        <f t="shared" si="2"/>
        <v>0</v>
      </c>
      <c r="H29" s="210"/>
      <c r="I29" s="221">
        <f t="shared" si="1"/>
        <v>0</v>
      </c>
      <c r="J29" s="211"/>
      <c r="K29" s="124"/>
    </row>
    <row r="30" spans="1:13" s="6" customFormat="1" ht="21" customHeight="1">
      <c r="A30" s="46" t="s">
        <v>10</v>
      </c>
      <c r="B30" s="46"/>
      <c r="C30" s="46"/>
      <c r="D30" s="56">
        <v>33910</v>
      </c>
      <c r="E30" s="192">
        <v>22606.666666666668</v>
      </c>
      <c r="F30" s="195">
        <f>SUM(F34+F67)</f>
        <v>11052.18</v>
      </c>
      <c r="G30" s="230">
        <f t="shared" si="2"/>
        <v>11303.333333333332</v>
      </c>
      <c r="H30" s="206"/>
      <c r="I30" s="56">
        <f t="shared" si="1"/>
        <v>16578.27</v>
      </c>
      <c r="J30" s="212"/>
      <c r="K30" s="125">
        <f>K34</f>
        <v>15180</v>
      </c>
      <c r="L30" s="455">
        <f>(K30-D30)/D30</f>
        <v>-0.55234444116779713</v>
      </c>
    </row>
    <row r="31" spans="1:13" s="202" customFormat="1" ht="14.25" customHeight="1" outlineLevel="1">
      <c r="A31" s="57"/>
      <c r="B31" s="57" t="s">
        <v>11</v>
      </c>
      <c r="C31" s="57"/>
      <c r="D31" s="53">
        <v>0</v>
      </c>
      <c r="E31" s="189">
        <v>0</v>
      </c>
      <c r="F31" s="195">
        <v>0</v>
      </c>
      <c r="G31" s="230">
        <f t="shared" si="2"/>
        <v>0</v>
      </c>
      <c r="H31" s="206"/>
      <c r="I31" s="222">
        <f t="shared" si="1"/>
        <v>0</v>
      </c>
      <c r="J31" s="213"/>
      <c r="K31" s="60">
        <v>0</v>
      </c>
    </row>
    <row r="32" spans="1:13" s="11" customFormat="1" ht="11.25" customHeight="1" outlineLevel="2">
      <c r="A32" s="26"/>
      <c r="B32" s="44"/>
      <c r="C32" s="26" t="s">
        <v>51</v>
      </c>
      <c r="D32" s="63"/>
      <c r="E32" s="197">
        <v>0</v>
      </c>
      <c r="F32" s="196"/>
      <c r="G32" s="231">
        <f t="shared" si="2"/>
        <v>0</v>
      </c>
      <c r="H32" s="210"/>
      <c r="I32" s="221">
        <f t="shared" si="1"/>
        <v>0</v>
      </c>
      <c r="J32" s="211"/>
      <c r="K32" s="124"/>
    </row>
    <row r="33" spans="1:13" s="11" customFormat="1" ht="11.25" customHeight="1" outlineLevel="2">
      <c r="A33" s="26"/>
      <c r="B33" s="44"/>
      <c r="C33" s="26" t="s">
        <v>52</v>
      </c>
      <c r="D33" s="63"/>
      <c r="E33" s="190">
        <v>0</v>
      </c>
      <c r="F33" s="196"/>
      <c r="G33" s="231">
        <f t="shared" si="2"/>
        <v>0</v>
      </c>
      <c r="H33" s="210"/>
      <c r="I33" s="221">
        <f t="shared" si="1"/>
        <v>0</v>
      </c>
      <c r="J33" s="211"/>
      <c r="K33" s="124"/>
    </row>
    <row r="34" spans="1:13" s="201" customFormat="1" ht="14.25" customHeight="1" outlineLevel="1">
      <c r="A34" s="51"/>
      <c r="B34" s="57" t="s">
        <v>12</v>
      </c>
      <c r="C34" s="51"/>
      <c r="D34" s="53">
        <v>33910</v>
      </c>
      <c r="E34" s="189">
        <v>22606.666666666668</v>
      </c>
      <c r="F34" s="195">
        <f>SUM(F35:F40)</f>
        <v>9868.880000000001</v>
      </c>
      <c r="G34" s="230">
        <f t="shared" si="2"/>
        <v>11303.333333333332</v>
      </c>
      <c r="H34" s="206"/>
      <c r="I34" s="56">
        <f>F34/8*12</f>
        <v>14803.320000000002</v>
      </c>
      <c r="J34" s="217"/>
      <c r="K34" s="393">
        <f>K35+K38+K39</f>
        <v>15180</v>
      </c>
      <c r="L34" s="456">
        <f>(K34-D34)/D34</f>
        <v>-0.55234444116779713</v>
      </c>
    </row>
    <row r="35" spans="1:13" s="11" customFormat="1" ht="11.25" customHeight="1" outlineLevel="2">
      <c r="A35" s="26"/>
      <c r="B35" s="44"/>
      <c r="C35" s="26" t="s">
        <v>109</v>
      </c>
      <c r="D35" s="63">
        <v>6010</v>
      </c>
      <c r="E35" s="197">
        <v>4006.6666666666665</v>
      </c>
      <c r="F35" s="194">
        <v>4004.88</v>
      </c>
      <c r="G35" s="231">
        <f t="shared" si="2"/>
        <v>2003.3333333333335</v>
      </c>
      <c r="H35" s="210"/>
      <c r="I35" s="221">
        <f t="shared" si="1"/>
        <v>6007.32</v>
      </c>
      <c r="J35" s="211"/>
      <c r="K35" s="124">
        <v>6300</v>
      </c>
      <c r="L35" s="457">
        <f>(K35-D35)/D35</f>
        <v>4.8252911813643926E-2</v>
      </c>
    </row>
    <row r="36" spans="1:13" s="11" customFormat="1" ht="11.25" customHeight="1" outlineLevel="2">
      <c r="A36" s="26"/>
      <c r="B36" s="44"/>
      <c r="C36" s="26" t="s">
        <v>112</v>
      </c>
      <c r="D36" s="63"/>
      <c r="E36" s="190">
        <v>0</v>
      </c>
      <c r="F36" s="225"/>
      <c r="G36" s="231">
        <f t="shared" si="2"/>
        <v>0</v>
      </c>
      <c r="H36" s="210"/>
      <c r="I36" s="221">
        <f t="shared" si="1"/>
        <v>0</v>
      </c>
      <c r="J36" s="211"/>
      <c r="K36" s="124"/>
      <c r="L36" s="457"/>
    </row>
    <row r="37" spans="1:13" s="11" customFormat="1" ht="11.25" customHeight="1" outlineLevel="2">
      <c r="A37" s="26"/>
      <c r="B37" s="44"/>
      <c r="C37" s="26" t="s">
        <v>150</v>
      </c>
      <c r="D37" s="63"/>
      <c r="E37" s="190">
        <v>0</v>
      </c>
      <c r="F37" s="225"/>
      <c r="G37" s="231">
        <f t="shared" si="2"/>
        <v>0</v>
      </c>
      <c r="H37" s="210"/>
      <c r="I37" s="221">
        <f t="shared" si="1"/>
        <v>0</v>
      </c>
      <c r="J37" s="211"/>
      <c r="K37" s="124"/>
      <c r="L37" s="457"/>
    </row>
    <row r="38" spans="1:13" s="11" customFormat="1" ht="11.25" customHeight="1" outlineLevel="2">
      <c r="A38" s="26"/>
      <c r="B38" s="44"/>
      <c r="C38" s="26" t="s">
        <v>58</v>
      </c>
      <c r="D38" s="63">
        <v>27900</v>
      </c>
      <c r="E38" s="190">
        <v>18600</v>
      </c>
      <c r="F38" s="124">
        <v>5120</v>
      </c>
      <c r="G38" s="231">
        <f t="shared" si="2"/>
        <v>9300</v>
      </c>
      <c r="H38" s="210"/>
      <c r="I38" s="221">
        <f t="shared" si="1"/>
        <v>7680</v>
      </c>
      <c r="J38" s="211"/>
      <c r="K38" s="124">
        <f>740*12</f>
        <v>8880</v>
      </c>
      <c r="L38" s="457">
        <f t="shared" ref="L38" si="3">(K38-D38)/D38</f>
        <v>-0.68172043010752692</v>
      </c>
      <c r="M38" s="198" t="s">
        <v>238</v>
      </c>
    </row>
    <row r="39" spans="1:13" s="11" customFormat="1" ht="11.25" customHeight="1" outlineLevel="2">
      <c r="A39" s="26"/>
      <c r="B39" s="44"/>
      <c r="C39" s="26" t="s">
        <v>111</v>
      </c>
      <c r="D39" s="63"/>
      <c r="E39" s="190">
        <v>0</v>
      </c>
      <c r="F39" s="225">
        <v>744</v>
      </c>
      <c r="G39" s="231">
        <f t="shared" si="2"/>
        <v>0</v>
      </c>
      <c r="H39" s="210"/>
      <c r="I39" s="221">
        <f t="shared" si="1"/>
        <v>1116</v>
      </c>
      <c r="J39" s="211"/>
      <c r="K39" s="124">
        <v>0</v>
      </c>
      <c r="L39" s="457"/>
    </row>
    <row r="40" spans="1:13" s="11" customFormat="1" ht="11.25" customHeight="1" outlineLevel="2">
      <c r="A40" s="26"/>
      <c r="B40" s="44"/>
      <c r="C40" s="26" t="s">
        <v>151</v>
      </c>
      <c r="D40" s="63"/>
      <c r="E40" s="190">
        <v>0</v>
      </c>
      <c r="F40" s="196"/>
      <c r="G40" s="231">
        <f t="shared" si="2"/>
        <v>0</v>
      </c>
      <c r="H40" s="210"/>
      <c r="I40" s="221">
        <f t="shared" si="1"/>
        <v>0</v>
      </c>
      <c r="J40" s="211"/>
      <c r="K40" s="124"/>
    </row>
    <row r="41" spans="1:13" s="11" customFormat="1" ht="11.25" customHeight="1" outlineLevel="2">
      <c r="A41" s="26"/>
      <c r="B41" s="44"/>
      <c r="C41" s="26" t="s">
        <v>61</v>
      </c>
      <c r="D41" s="63"/>
      <c r="E41" s="190">
        <v>0</v>
      </c>
      <c r="F41" s="196"/>
      <c r="G41" s="231">
        <f t="shared" si="2"/>
        <v>0</v>
      </c>
      <c r="H41" s="210"/>
      <c r="I41" s="221">
        <f t="shared" si="1"/>
        <v>0</v>
      </c>
      <c r="J41" s="211"/>
      <c r="K41" s="124"/>
    </row>
    <row r="42" spans="1:13" s="11" customFormat="1" ht="11.25" customHeight="1" outlineLevel="2">
      <c r="A42" s="26"/>
      <c r="B42" s="44"/>
      <c r="C42" s="26" t="s">
        <v>152</v>
      </c>
      <c r="D42" s="63"/>
      <c r="E42" s="190">
        <v>0</v>
      </c>
      <c r="F42" s="196"/>
      <c r="G42" s="231">
        <f t="shared" si="2"/>
        <v>0</v>
      </c>
      <c r="H42" s="210"/>
      <c r="I42" s="221">
        <f t="shared" si="1"/>
        <v>0</v>
      </c>
      <c r="J42" s="211"/>
      <c r="K42" s="124"/>
    </row>
    <row r="43" spans="1:13" s="11" customFormat="1" ht="11.25" customHeight="1" outlineLevel="2">
      <c r="A43" s="26"/>
      <c r="B43" s="44"/>
      <c r="C43" s="26" t="s">
        <v>107</v>
      </c>
      <c r="D43" s="55"/>
      <c r="E43" s="190">
        <v>0</v>
      </c>
      <c r="F43" s="196"/>
      <c r="G43" s="231">
        <f t="shared" si="2"/>
        <v>0</v>
      </c>
      <c r="H43" s="210"/>
      <c r="I43" s="221">
        <f t="shared" si="1"/>
        <v>0</v>
      </c>
      <c r="J43" s="211"/>
      <c r="K43" s="124"/>
    </row>
    <row r="44" spans="1:13" s="11" customFormat="1" ht="11.25" customHeight="1" outlineLevel="2">
      <c r="A44" s="26"/>
      <c r="B44" s="44"/>
      <c r="C44" s="26" t="s">
        <v>153</v>
      </c>
      <c r="D44" s="63"/>
      <c r="E44" s="190">
        <v>0</v>
      </c>
      <c r="F44" s="196"/>
      <c r="G44" s="231">
        <f t="shared" si="2"/>
        <v>0</v>
      </c>
      <c r="H44" s="210"/>
      <c r="I44" s="221">
        <f t="shared" si="1"/>
        <v>0</v>
      </c>
      <c r="J44" s="211"/>
      <c r="K44" s="124"/>
      <c r="L44" s="11">
        <f>K38/12</f>
        <v>740</v>
      </c>
    </row>
    <row r="45" spans="1:13" s="11" customFormat="1" ht="11.25" customHeight="1" outlineLevel="2">
      <c r="A45" s="26"/>
      <c r="B45" s="44"/>
      <c r="C45" s="26" t="s">
        <v>65</v>
      </c>
      <c r="D45" s="63"/>
      <c r="E45" s="190">
        <v>0</v>
      </c>
      <c r="F45" s="196"/>
      <c r="G45" s="231">
        <f t="shared" si="2"/>
        <v>0</v>
      </c>
      <c r="H45" s="210"/>
      <c r="I45" s="221">
        <f t="shared" si="1"/>
        <v>0</v>
      </c>
      <c r="J45" s="211"/>
      <c r="K45" s="124"/>
    </row>
    <row r="46" spans="1:13" s="11" customFormat="1" ht="11.25" customHeight="1" outlineLevel="2">
      <c r="A46" s="26"/>
      <c r="B46" s="44"/>
      <c r="C46" s="26" t="s">
        <v>66</v>
      </c>
      <c r="D46" s="55"/>
      <c r="E46" s="190">
        <v>0</v>
      </c>
      <c r="F46" s="196"/>
      <c r="G46" s="231">
        <f t="shared" si="2"/>
        <v>0</v>
      </c>
      <c r="H46" s="210"/>
      <c r="I46" s="221">
        <f t="shared" si="1"/>
        <v>0</v>
      </c>
      <c r="J46" s="211"/>
      <c r="K46" s="124"/>
    </row>
    <row r="47" spans="1:13" s="11" customFormat="1" ht="11.25" customHeight="1" outlineLevel="2">
      <c r="A47" s="26"/>
      <c r="B47" s="44"/>
      <c r="C47" s="26" t="s">
        <v>67</v>
      </c>
      <c r="D47" s="55"/>
      <c r="E47" s="190">
        <v>0</v>
      </c>
      <c r="F47" s="196"/>
      <c r="G47" s="231">
        <f t="shared" si="2"/>
        <v>0</v>
      </c>
      <c r="H47" s="210"/>
      <c r="I47" s="221">
        <f t="shared" si="1"/>
        <v>0</v>
      </c>
      <c r="J47" s="211"/>
      <c r="K47" s="124"/>
    </row>
    <row r="48" spans="1:13" s="11" customFormat="1" ht="11.25" customHeight="1" outlineLevel="2">
      <c r="A48" s="26"/>
      <c r="B48" s="44"/>
      <c r="C48" s="26" t="s">
        <v>68</v>
      </c>
      <c r="D48" s="63"/>
      <c r="E48" s="190">
        <v>0</v>
      </c>
      <c r="F48" s="196"/>
      <c r="G48" s="231">
        <f t="shared" si="2"/>
        <v>0</v>
      </c>
      <c r="H48" s="210"/>
      <c r="I48" s="221">
        <f t="shared" si="1"/>
        <v>0</v>
      </c>
      <c r="J48" s="211"/>
      <c r="K48" s="124"/>
    </row>
    <row r="49" spans="1:11" s="11" customFormat="1" ht="11.25" customHeight="1" outlineLevel="2">
      <c r="A49" s="26"/>
      <c r="B49" s="44"/>
      <c r="C49" s="26" t="s">
        <v>69</v>
      </c>
      <c r="D49" s="63"/>
      <c r="E49" s="190">
        <v>0</v>
      </c>
      <c r="F49" s="196"/>
      <c r="G49" s="231">
        <f t="shared" si="2"/>
        <v>0</v>
      </c>
      <c r="H49" s="210"/>
      <c r="I49" s="221">
        <f t="shared" si="1"/>
        <v>0</v>
      </c>
      <c r="J49" s="211"/>
      <c r="K49" s="124"/>
    </row>
    <row r="50" spans="1:11" s="11" customFormat="1" ht="11.25" customHeight="1" outlineLevel="2">
      <c r="A50" s="26"/>
      <c r="B50" s="44"/>
      <c r="C50" s="26" t="s">
        <v>154</v>
      </c>
      <c r="D50" s="63"/>
      <c r="E50" s="190">
        <v>0</v>
      </c>
      <c r="F50" s="196"/>
      <c r="G50" s="231">
        <f t="shared" si="2"/>
        <v>0</v>
      </c>
      <c r="H50" s="210"/>
      <c r="I50" s="221">
        <f t="shared" si="1"/>
        <v>0</v>
      </c>
      <c r="J50" s="211"/>
      <c r="K50" s="124"/>
    </row>
    <row r="51" spans="1:11" s="11" customFormat="1" ht="11.25" customHeight="1" outlineLevel="2">
      <c r="A51" s="26"/>
      <c r="B51" s="44"/>
      <c r="C51" s="26" t="s">
        <v>155</v>
      </c>
      <c r="D51" s="63"/>
      <c r="E51" s="190">
        <v>0</v>
      </c>
      <c r="F51" s="196"/>
      <c r="G51" s="231">
        <f t="shared" si="2"/>
        <v>0</v>
      </c>
      <c r="H51" s="210"/>
      <c r="I51" s="221">
        <f t="shared" si="1"/>
        <v>0</v>
      </c>
      <c r="J51" s="211"/>
      <c r="K51" s="124"/>
    </row>
    <row r="52" spans="1:11" s="11" customFormat="1" ht="11.25" customHeight="1" outlineLevel="2">
      <c r="A52" s="26"/>
      <c r="B52" s="44"/>
      <c r="C52" s="26" t="s">
        <v>73</v>
      </c>
      <c r="D52" s="63">
        <v>0</v>
      </c>
      <c r="E52" s="190">
        <v>0</v>
      </c>
      <c r="F52" s="196"/>
      <c r="G52" s="231">
        <f t="shared" si="2"/>
        <v>0</v>
      </c>
      <c r="H52" s="210"/>
      <c r="I52" s="221">
        <f t="shared" si="1"/>
        <v>0</v>
      </c>
      <c r="J52" s="211"/>
      <c r="K52" s="124"/>
    </row>
    <row r="53" spans="1:11" s="11" customFormat="1" ht="11.25" customHeight="1" outlineLevel="2">
      <c r="A53" s="26"/>
      <c r="B53" s="44"/>
      <c r="C53" s="26" t="s">
        <v>74</v>
      </c>
      <c r="D53" s="63"/>
      <c r="E53" s="190">
        <v>0</v>
      </c>
      <c r="F53" s="196"/>
      <c r="G53" s="231">
        <f t="shared" si="2"/>
        <v>0</v>
      </c>
      <c r="H53" s="210"/>
      <c r="I53" s="221">
        <f t="shared" si="1"/>
        <v>0</v>
      </c>
      <c r="J53" s="211"/>
      <c r="K53" s="124"/>
    </row>
    <row r="54" spans="1:11" s="11" customFormat="1" ht="11.25" customHeight="1" outlineLevel="2">
      <c r="A54" s="26"/>
      <c r="B54" s="44"/>
      <c r="C54" s="26" t="s">
        <v>156</v>
      </c>
      <c r="D54" s="55"/>
      <c r="E54" s="190">
        <v>0</v>
      </c>
      <c r="F54" s="196"/>
      <c r="G54" s="231">
        <f t="shared" si="2"/>
        <v>0</v>
      </c>
      <c r="H54" s="210"/>
      <c r="I54" s="221">
        <f t="shared" si="1"/>
        <v>0</v>
      </c>
      <c r="J54" s="211"/>
      <c r="K54" s="124"/>
    </row>
    <row r="55" spans="1:11" s="11" customFormat="1" ht="11.25" customHeight="1" outlineLevel="2">
      <c r="A55" s="26"/>
      <c r="B55" s="44"/>
      <c r="C55" s="26" t="s">
        <v>157</v>
      </c>
      <c r="D55" s="63"/>
      <c r="E55" s="190">
        <v>0</v>
      </c>
      <c r="F55" s="196"/>
      <c r="G55" s="231">
        <f t="shared" si="2"/>
        <v>0</v>
      </c>
      <c r="H55" s="210"/>
      <c r="I55" s="221">
        <f t="shared" si="1"/>
        <v>0</v>
      </c>
      <c r="J55" s="211"/>
      <c r="K55" s="124"/>
    </row>
    <row r="56" spans="1:11" s="11" customFormat="1" ht="11.25" customHeight="1" outlineLevel="2">
      <c r="A56" s="26"/>
      <c r="B56" s="44"/>
      <c r="C56" s="26" t="s">
        <v>158</v>
      </c>
      <c r="D56" s="63"/>
      <c r="E56" s="190">
        <v>0</v>
      </c>
      <c r="F56" s="196"/>
      <c r="G56" s="231">
        <f t="shared" si="2"/>
        <v>0</v>
      </c>
      <c r="H56" s="210"/>
      <c r="I56" s="221">
        <f t="shared" si="1"/>
        <v>0</v>
      </c>
      <c r="J56" s="211"/>
      <c r="K56" s="124"/>
    </row>
    <row r="57" spans="1:11" s="11" customFormat="1" ht="11.25" customHeight="1" outlineLevel="2">
      <c r="A57" s="26"/>
      <c r="B57" s="44"/>
      <c r="C57" s="26" t="s">
        <v>78</v>
      </c>
      <c r="D57" s="63"/>
      <c r="E57" s="190">
        <v>0</v>
      </c>
      <c r="F57" s="196"/>
      <c r="G57" s="231">
        <f t="shared" si="2"/>
        <v>0</v>
      </c>
      <c r="H57" s="210"/>
      <c r="I57" s="221">
        <f t="shared" si="1"/>
        <v>0</v>
      </c>
      <c r="J57" s="211"/>
      <c r="K57" s="124"/>
    </row>
    <row r="58" spans="1:11" s="11" customFormat="1" ht="11.25" customHeight="1" outlineLevel="2">
      <c r="A58" s="26"/>
      <c r="B58" s="44"/>
      <c r="C58" s="26" t="s">
        <v>114</v>
      </c>
      <c r="D58" s="55"/>
      <c r="E58" s="190">
        <v>0</v>
      </c>
      <c r="F58" s="196"/>
      <c r="G58" s="231">
        <f t="shared" si="2"/>
        <v>0</v>
      </c>
      <c r="H58" s="210"/>
      <c r="I58" s="221">
        <f t="shared" si="1"/>
        <v>0</v>
      </c>
      <c r="J58" s="211"/>
      <c r="K58" s="124"/>
    </row>
    <row r="59" spans="1:11" s="202" customFormat="1" ht="14.25" customHeight="1" outlineLevel="1">
      <c r="A59" s="57"/>
      <c r="B59" s="57" t="s">
        <v>13</v>
      </c>
      <c r="C59" s="57"/>
      <c r="D59" s="60">
        <v>0</v>
      </c>
      <c r="E59" s="189">
        <v>0</v>
      </c>
      <c r="F59" s="195"/>
      <c r="G59" s="230">
        <f t="shared" si="2"/>
        <v>0</v>
      </c>
      <c r="H59" s="206"/>
      <c r="I59" s="222">
        <f t="shared" si="1"/>
        <v>0</v>
      </c>
      <c r="J59" s="213"/>
      <c r="K59" s="60">
        <v>0</v>
      </c>
    </row>
    <row r="60" spans="1:11" s="11" customFormat="1" ht="11.25" customHeight="1" outlineLevel="2">
      <c r="A60" s="26"/>
      <c r="B60" s="44"/>
      <c r="C60" s="26" t="s">
        <v>79</v>
      </c>
      <c r="D60" s="126">
        <v>0</v>
      </c>
      <c r="E60" s="197">
        <v>0</v>
      </c>
      <c r="F60" s="196"/>
      <c r="G60" s="231">
        <f t="shared" si="2"/>
        <v>0</v>
      </c>
      <c r="H60" s="210"/>
      <c r="I60" s="221">
        <f t="shared" si="1"/>
        <v>0</v>
      </c>
      <c r="J60" s="211"/>
      <c r="K60" s="124"/>
    </row>
    <row r="61" spans="1:11" s="11" customFormat="1" ht="11.25" customHeight="1" outlineLevel="2">
      <c r="A61" s="26"/>
      <c r="B61" s="44"/>
      <c r="C61" s="26" t="s">
        <v>115</v>
      </c>
      <c r="D61" s="126">
        <v>0</v>
      </c>
      <c r="E61" s="190">
        <v>0</v>
      </c>
      <c r="F61" s="196"/>
      <c r="G61" s="231">
        <f t="shared" si="2"/>
        <v>0</v>
      </c>
      <c r="H61" s="67"/>
      <c r="I61" s="221">
        <f t="shared" si="1"/>
        <v>0</v>
      </c>
      <c r="J61" s="211"/>
      <c r="K61" s="124"/>
    </row>
    <row r="62" spans="1:11" s="11" customFormat="1" ht="11.25" customHeight="1" outlineLevel="2">
      <c r="A62" s="26"/>
      <c r="B62" s="44"/>
      <c r="C62" s="26" t="s">
        <v>116</v>
      </c>
      <c r="D62" s="126"/>
      <c r="E62" s="190">
        <v>0</v>
      </c>
      <c r="F62" s="196"/>
      <c r="G62" s="231">
        <f t="shared" si="2"/>
        <v>0</v>
      </c>
      <c r="H62" s="67"/>
      <c r="I62" s="221">
        <f t="shared" si="1"/>
        <v>0</v>
      </c>
      <c r="J62" s="211"/>
      <c r="K62" s="124"/>
    </row>
    <row r="63" spans="1:11" s="11" customFormat="1" ht="11.25" customHeight="1" outlineLevel="2">
      <c r="A63" s="26"/>
      <c r="B63" s="44"/>
      <c r="C63" s="26" t="s">
        <v>74</v>
      </c>
      <c r="D63" s="126">
        <v>0</v>
      </c>
      <c r="E63" s="190">
        <v>0</v>
      </c>
      <c r="F63" s="196"/>
      <c r="G63" s="231">
        <f t="shared" si="2"/>
        <v>0</v>
      </c>
      <c r="H63" s="67"/>
      <c r="I63" s="221">
        <f t="shared" si="1"/>
        <v>0</v>
      </c>
      <c r="J63" s="211"/>
      <c r="K63" s="124"/>
    </row>
    <row r="64" spans="1:11" s="11" customFormat="1" ht="11.25" customHeight="1" outlineLevel="2">
      <c r="A64" s="26"/>
      <c r="B64" s="44"/>
      <c r="C64" s="26" t="s">
        <v>117</v>
      </c>
      <c r="D64" s="63"/>
      <c r="E64" s="190">
        <v>0</v>
      </c>
      <c r="F64" s="196"/>
      <c r="G64" s="231">
        <f t="shared" si="2"/>
        <v>0</v>
      </c>
      <c r="H64" s="210"/>
      <c r="I64" s="221">
        <f t="shared" si="1"/>
        <v>0</v>
      </c>
      <c r="J64" s="211"/>
      <c r="K64" s="124"/>
    </row>
    <row r="65" spans="1:12" s="11" customFormat="1" ht="11.25" customHeight="1" outlineLevel="2">
      <c r="A65" s="26"/>
      <c r="B65" s="44"/>
      <c r="C65" s="26" t="s">
        <v>118</v>
      </c>
      <c r="D65" s="63"/>
      <c r="E65" s="190">
        <v>0</v>
      </c>
      <c r="F65" s="196"/>
      <c r="G65" s="231">
        <f t="shared" si="2"/>
        <v>0</v>
      </c>
      <c r="H65" s="210"/>
      <c r="I65" s="221">
        <f t="shared" si="1"/>
        <v>0</v>
      </c>
      <c r="J65" s="211"/>
      <c r="K65" s="124"/>
    </row>
    <row r="66" spans="1:12" s="11" customFormat="1" ht="11.25" customHeight="1" outlineLevel="2">
      <c r="A66" s="26"/>
      <c r="B66" s="44"/>
      <c r="C66" s="26" t="s">
        <v>119</v>
      </c>
      <c r="D66" s="63"/>
      <c r="E66" s="190">
        <v>0</v>
      </c>
      <c r="F66" s="196"/>
      <c r="G66" s="231">
        <f t="shared" si="2"/>
        <v>0</v>
      </c>
      <c r="H66" s="210"/>
      <c r="I66" s="221">
        <f t="shared" si="1"/>
        <v>0</v>
      </c>
      <c r="J66" s="211"/>
      <c r="K66" s="124"/>
    </row>
    <row r="67" spans="1:12" s="204" customFormat="1" ht="12" customHeight="1" outlineLevel="2">
      <c r="A67" s="61"/>
      <c r="B67" s="61" t="s">
        <v>121</v>
      </c>
      <c r="C67" s="61"/>
      <c r="D67" s="214">
        <v>0</v>
      </c>
      <c r="E67" s="189">
        <v>0</v>
      </c>
      <c r="F67" s="195">
        <f>SUM(F69+F70)</f>
        <v>1183.3</v>
      </c>
      <c r="G67" s="230">
        <f t="shared" si="2"/>
        <v>0</v>
      </c>
      <c r="H67" s="206"/>
      <c r="I67" s="56">
        <f t="shared" si="1"/>
        <v>1774.9499999999998</v>
      </c>
      <c r="J67" s="213"/>
      <c r="K67" s="60">
        <v>0</v>
      </c>
      <c r="L67" s="203"/>
    </row>
    <row r="68" spans="1:12" ht="12" customHeight="1">
      <c r="A68" s="26"/>
      <c r="B68" s="44"/>
      <c r="C68" s="26" t="s">
        <v>49</v>
      </c>
      <c r="D68" s="126">
        <v>0</v>
      </c>
      <c r="E68" s="197">
        <v>0</v>
      </c>
      <c r="F68" s="196"/>
      <c r="G68" s="231">
        <f t="shared" si="2"/>
        <v>0</v>
      </c>
      <c r="H68" s="210"/>
      <c r="I68" s="221">
        <f t="shared" si="1"/>
        <v>0</v>
      </c>
      <c r="J68" s="215"/>
      <c r="K68" s="138"/>
    </row>
    <row r="69" spans="1:12" ht="12" customHeight="1">
      <c r="A69" s="26"/>
      <c r="B69" s="44"/>
      <c r="C69" s="26" t="s">
        <v>122</v>
      </c>
      <c r="D69" s="55">
        <v>0</v>
      </c>
      <c r="E69" s="190">
        <v>0</v>
      </c>
      <c r="F69" s="225">
        <v>1163.57</v>
      </c>
      <c r="G69" s="231">
        <f t="shared" si="2"/>
        <v>0</v>
      </c>
      <c r="H69" s="210"/>
      <c r="I69" s="221">
        <f t="shared" si="1"/>
        <v>1745.355</v>
      </c>
      <c r="J69" s="215"/>
      <c r="K69" s="138"/>
    </row>
    <row r="70" spans="1:12" ht="12" customHeight="1">
      <c r="C70" s="26" t="s">
        <v>105</v>
      </c>
      <c r="D70" s="55"/>
      <c r="E70" s="190">
        <v>0</v>
      </c>
      <c r="F70" s="225">
        <v>19.73</v>
      </c>
      <c r="G70" s="231">
        <f t="shared" si="2"/>
        <v>0</v>
      </c>
      <c r="H70" s="210"/>
      <c r="I70" s="221">
        <f t="shared" si="1"/>
        <v>29.594999999999999</v>
      </c>
      <c r="J70" s="215"/>
      <c r="K70" s="138"/>
    </row>
    <row r="71" spans="1:12" ht="11.25" customHeight="1">
      <c r="C71" s="26" t="s">
        <v>90</v>
      </c>
      <c r="D71" s="55"/>
      <c r="E71" s="190">
        <v>0</v>
      </c>
      <c r="F71" s="196"/>
      <c r="G71" s="231">
        <f t="shared" si="2"/>
        <v>0</v>
      </c>
      <c r="H71" s="216"/>
      <c r="I71" s="221">
        <f t="shared" si="1"/>
        <v>0</v>
      </c>
      <c r="J71" s="215"/>
      <c r="K71" s="138"/>
    </row>
    <row r="72" spans="1:12">
      <c r="D72" s="235"/>
      <c r="E72" s="237">
        <v>0</v>
      </c>
      <c r="F72" s="235"/>
      <c r="H72" s="210"/>
      <c r="I72" s="223">
        <f t="shared" ref="I72" si="4">F72/8*12</f>
        <v>0</v>
      </c>
      <c r="J72" s="144"/>
      <c r="K72" s="233"/>
    </row>
  </sheetData>
  <mergeCells count="1">
    <mergeCell ref="A4:C4"/>
  </mergeCells>
  <printOptions horizontalCentered="1" verticalCentered="1" gridLinesSet="0"/>
  <pageMargins left="0.39370078740157483" right="0.27559055118110237" top="0.27559055118110237" bottom="0.11811023622047245" header="0.51181102362204722" footer="0"/>
  <pageSetup paperSize="9" scale="95" orientation="portrait" r:id="rId1"/>
  <headerFooter alignWithMargins="0">
    <oddFooter>&amp;L&amp;8DOC06.PG01_Orçamento LapiSul_2015&amp;C&amp;8Aprovado pelo Conselho Diretor &amp;R&amp;8 6/10/2014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O82"/>
  <sheetViews>
    <sheetView showGridLines="0" topLeftCell="A5" zoomScaleNormal="110" workbookViewId="0">
      <selection activeCell="L8" sqref="L8"/>
    </sheetView>
  </sheetViews>
  <sheetFormatPr baseColWidth="10" defaultColWidth="9" defaultRowHeight="12" outlineLevelRow="2"/>
  <cols>
    <col min="1" max="1" width="3.19921875" style="248" customWidth="1"/>
    <col min="2" max="2" width="3.19921875" style="249" customWidth="1"/>
    <col min="3" max="3" width="26.796875" style="248" customWidth="1"/>
    <col min="4" max="6" width="13.796875" style="251" customWidth="1"/>
    <col min="7" max="7" width="13.19921875" style="251" hidden="1" customWidth="1"/>
    <col min="8" max="8" width="4.19921875" style="248" customWidth="1"/>
    <col min="9" max="9" width="15" style="293" hidden="1" customWidth="1"/>
    <col min="10" max="10" width="15" style="294" customWidth="1"/>
    <col min="11" max="11" width="3.59765625" style="254" customWidth="1"/>
    <col min="12" max="12" width="12.796875" style="254" bestFit="1" customWidth="1"/>
    <col min="13" max="13" width="3.796875" style="248" customWidth="1"/>
    <col min="14" max="14" width="15.19921875" style="247" customWidth="1"/>
    <col min="15" max="16384" width="9" style="26"/>
  </cols>
  <sheetData>
    <row r="1" spans="1:14" ht="15">
      <c r="C1" s="250" t="s">
        <v>123</v>
      </c>
      <c r="I1" s="252"/>
      <c r="J1" s="253"/>
    </row>
    <row r="2" spans="1:14" s="44" customFormat="1" ht="24" customHeight="1">
      <c r="A2" s="249"/>
      <c r="B2" s="255"/>
      <c r="C2" s="256" t="s">
        <v>92</v>
      </c>
      <c r="D2" s="257"/>
      <c r="E2" s="257"/>
      <c r="F2" s="257"/>
      <c r="G2" s="251"/>
      <c r="H2" s="248"/>
      <c r="I2" s="258"/>
      <c r="J2" s="259"/>
      <c r="K2" s="249"/>
      <c r="L2" s="249"/>
      <c r="M2" s="249"/>
      <c r="N2" s="247"/>
    </row>
    <row r="3" spans="1:14" s="80" customFormat="1" ht="28" customHeight="1">
      <c r="A3" s="327" t="s">
        <v>124</v>
      </c>
      <c r="B3" s="249"/>
      <c r="C3" s="249"/>
      <c r="D3" s="249"/>
      <c r="E3" s="249"/>
      <c r="F3" s="249"/>
      <c r="G3" s="249"/>
      <c r="H3" s="248"/>
      <c r="I3" s="260"/>
      <c r="J3" s="249"/>
      <c r="K3" s="249"/>
      <c r="L3" s="249"/>
      <c r="M3" s="249"/>
      <c r="N3" s="242"/>
    </row>
    <row r="4" spans="1:14" s="80" customFormat="1" ht="28" customHeight="1">
      <c r="A4" s="672" t="s">
        <v>237</v>
      </c>
      <c r="B4" s="672"/>
      <c r="C4" s="672"/>
      <c r="D4" s="249"/>
      <c r="E4" s="257"/>
      <c r="F4" s="257"/>
      <c r="G4" s="261"/>
      <c r="H4" s="248"/>
      <c r="I4" s="262" t="s">
        <v>186</v>
      </c>
      <c r="J4" s="263"/>
      <c r="K4" s="249"/>
      <c r="L4" s="249"/>
      <c r="M4" s="249"/>
      <c r="N4" s="244"/>
    </row>
    <row r="5" spans="1:14" ht="29" customHeight="1">
      <c r="D5" s="325">
        <v>2025</v>
      </c>
      <c r="E5" s="264">
        <v>45870</v>
      </c>
      <c r="F5" s="264" t="s">
        <v>232</v>
      </c>
      <c r="G5" s="265" t="s">
        <v>94</v>
      </c>
      <c r="I5" s="266" t="s">
        <v>187</v>
      </c>
      <c r="J5" s="267" t="s">
        <v>233</v>
      </c>
      <c r="L5" s="326">
        <v>2026</v>
      </c>
      <c r="N5" s="268" t="s">
        <v>235</v>
      </c>
    </row>
    <row r="6" spans="1:14" s="302" customFormat="1" ht="26" customHeight="1">
      <c r="A6" s="295" t="s">
        <v>15</v>
      </c>
      <c r="B6" s="295"/>
      <c r="C6" s="295"/>
      <c r="D6" s="296">
        <f>D7-D34</f>
        <v>60494.873999999953</v>
      </c>
      <c r="E6" s="296">
        <v>40329.915999999968</v>
      </c>
      <c r="F6" s="296">
        <v>11883.489999999991</v>
      </c>
      <c r="G6" s="297">
        <f>D6-E6</f>
        <v>20164.957999999984</v>
      </c>
      <c r="H6" s="298"/>
      <c r="I6" s="299">
        <v>-4095.3499999999767</v>
      </c>
      <c r="J6" s="300">
        <f>F6/8*12</f>
        <v>17825.234999999986</v>
      </c>
      <c r="K6" s="295"/>
      <c r="L6" s="301">
        <f>L7-L34</f>
        <v>4586.9250980000943</v>
      </c>
      <c r="M6" s="295"/>
      <c r="N6" s="454">
        <f>(L6-D6)/D6</f>
        <v>-0.92417663192421728</v>
      </c>
    </row>
    <row r="7" spans="1:14" s="308" customFormat="1" ht="21" customHeight="1">
      <c r="A7" s="303" t="s">
        <v>6</v>
      </c>
      <c r="B7" s="303"/>
      <c r="C7" s="303"/>
      <c r="D7" s="296">
        <f>D8+D24+D22+D27</f>
        <v>1036046.594</v>
      </c>
      <c r="E7" s="296">
        <v>690697.72933333332</v>
      </c>
      <c r="F7" s="296">
        <v>636954.96000000008</v>
      </c>
      <c r="G7" s="297">
        <f>D7-E7</f>
        <v>345348.86466666672</v>
      </c>
      <c r="H7" s="298"/>
      <c r="I7" s="299">
        <v>455719.33</v>
      </c>
      <c r="J7" s="304">
        <f t="shared" ref="J7:J70" si="0">F7/8*12</f>
        <v>955432.44000000018</v>
      </c>
      <c r="K7" s="305"/>
      <c r="L7" s="306">
        <f>L8+L22+L24+L31+L16</f>
        <v>998444.72560000012</v>
      </c>
      <c r="M7" s="307"/>
      <c r="N7" s="429">
        <f t="shared" ref="N7:N70" si="1">(L7-D7)/D7</f>
        <v>-3.6293607466847108E-2</v>
      </c>
    </row>
    <row r="8" spans="1:14" s="316" customFormat="1" ht="14.25" customHeight="1" outlineLevel="1">
      <c r="A8" s="309"/>
      <c r="B8" s="310" t="s">
        <v>7</v>
      </c>
      <c r="C8" s="309"/>
      <c r="D8" s="311">
        <v>911546.59400000004</v>
      </c>
      <c r="E8" s="312">
        <v>607697.72933333332</v>
      </c>
      <c r="F8" s="296">
        <v>605455.70000000007</v>
      </c>
      <c r="G8" s="297"/>
      <c r="H8" s="298"/>
      <c r="I8" s="313"/>
      <c r="J8" s="304">
        <f t="shared" si="0"/>
        <v>908183.55</v>
      </c>
      <c r="K8" s="314"/>
      <c r="L8" s="312">
        <f>SUM(L9:L15)</f>
        <v>952441.84560000012</v>
      </c>
      <c r="M8" s="314"/>
      <c r="N8" s="429">
        <f t="shared" si="1"/>
        <v>4.4863588838114921E-2</v>
      </c>
    </row>
    <row r="9" spans="1:14" ht="15" customHeight="1" outlineLevel="2">
      <c r="C9" s="248" t="s">
        <v>126</v>
      </c>
      <c r="D9" s="278">
        <v>918546.59400000004</v>
      </c>
      <c r="E9" s="278">
        <v>612364.39600000007</v>
      </c>
      <c r="F9" s="278">
        <v>611543.06000000006</v>
      </c>
      <c r="G9" s="279"/>
      <c r="I9" s="280">
        <v>437403.14</v>
      </c>
      <c r="J9" s="281">
        <f t="shared" si="0"/>
        <v>917314.59000000008</v>
      </c>
      <c r="K9" s="248"/>
      <c r="L9" s="282">
        <f>J9*1.04</f>
        <v>954007.1736000001</v>
      </c>
      <c r="N9" s="458">
        <f t="shared" si="1"/>
        <v>3.8605096172181823E-2</v>
      </c>
    </row>
    <row r="10" spans="1:14" ht="11.25" customHeight="1" outlineLevel="2">
      <c r="C10" s="248" t="s">
        <v>33</v>
      </c>
      <c r="D10" s="278">
        <v>0</v>
      </c>
      <c r="E10" s="278">
        <v>0</v>
      </c>
      <c r="F10" s="278">
        <v>885.6</v>
      </c>
      <c r="G10" s="279"/>
      <c r="I10" s="280">
        <v>637.97</v>
      </c>
      <c r="J10" s="281">
        <f t="shared" si="0"/>
        <v>1328.4</v>
      </c>
      <c r="K10" s="248"/>
      <c r="L10" s="282">
        <f>J10*1.08</f>
        <v>1434.6720000000003</v>
      </c>
      <c r="N10" s="458"/>
    </row>
    <row r="11" spans="1:14" ht="11.25" customHeight="1" outlineLevel="2">
      <c r="C11" s="248" t="s">
        <v>203</v>
      </c>
      <c r="D11" s="278">
        <v>32000</v>
      </c>
      <c r="E11" s="278">
        <v>21333.333333333332</v>
      </c>
      <c r="F11" s="278">
        <v>21765.49</v>
      </c>
      <c r="G11" s="279"/>
      <c r="I11" s="280">
        <v>16350.32</v>
      </c>
      <c r="J11" s="281">
        <f t="shared" si="0"/>
        <v>32648.235000000001</v>
      </c>
      <c r="K11" s="248"/>
      <c r="L11" s="282">
        <f>L37+L39</f>
        <v>36000</v>
      </c>
      <c r="N11" s="458">
        <f t="shared" si="1"/>
        <v>0.125</v>
      </c>
    </row>
    <row r="12" spans="1:14" ht="11.25" customHeight="1" outlineLevel="2">
      <c r="C12" s="248" t="s">
        <v>128</v>
      </c>
      <c r="D12" s="278">
        <v>0</v>
      </c>
      <c r="E12" s="278">
        <v>0</v>
      </c>
      <c r="F12" s="278">
        <v>0</v>
      </c>
      <c r="G12" s="279"/>
      <c r="I12" s="280">
        <v>0</v>
      </c>
      <c r="J12" s="281">
        <f t="shared" si="0"/>
        <v>0</v>
      </c>
      <c r="K12" s="248"/>
      <c r="L12" s="282"/>
      <c r="N12" s="458"/>
    </row>
    <row r="13" spans="1:14" ht="11.25" customHeight="1" outlineLevel="2">
      <c r="C13" s="248" t="s">
        <v>129</v>
      </c>
      <c r="D13" s="283">
        <v>13000</v>
      </c>
      <c r="E13" s="278">
        <v>8666.6666666666661</v>
      </c>
      <c r="F13" s="278">
        <v>10877</v>
      </c>
      <c r="G13" s="279"/>
      <c r="I13" s="280">
        <v>5860</v>
      </c>
      <c r="J13" s="281">
        <f t="shared" si="0"/>
        <v>16315.5</v>
      </c>
      <c r="K13" s="248"/>
      <c r="L13" s="282">
        <v>15000</v>
      </c>
      <c r="N13" s="458">
        <f t="shared" si="1"/>
        <v>0.15384615384615385</v>
      </c>
    </row>
    <row r="14" spans="1:14" ht="11" customHeight="1" outlineLevel="2">
      <c r="C14" s="248" t="s">
        <v>30</v>
      </c>
      <c r="D14" s="283">
        <v>-12000</v>
      </c>
      <c r="E14" s="278">
        <v>-8000</v>
      </c>
      <c r="F14" s="278">
        <v>-7414.25</v>
      </c>
      <c r="G14" s="279"/>
      <c r="I14" s="280">
        <v>-5718</v>
      </c>
      <c r="J14" s="197">
        <f t="shared" si="0"/>
        <v>-11121.375</v>
      </c>
      <c r="K14" s="248"/>
      <c r="L14" s="282">
        <v>-12000</v>
      </c>
      <c r="N14" s="458">
        <f t="shared" si="1"/>
        <v>0</v>
      </c>
    </row>
    <row r="15" spans="1:14" ht="11" customHeight="1" outlineLevel="2">
      <c r="C15" s="248" t="s">
        <v>213</v>
      </c>
      <c r="D15" s="282">
        <v>-40000</v>
      </c>
      <c r="E15" s="278">
        <v>-26666.666666666668</v>
      </c>
      <c r="F15" s="278">
        <v>-32201.200000000001</v>
      </c>
      <c r="G15" s="279"/>
      <c r="I15" s="280">
        <v>-21656.625</v>
      </c>
      <c r="J15" s="197">
        <f t="shared" si="0"/>
        <v>-48301.8</v>
      </c>
      <c r="K15" s="248"/>
      <c r="L15" s="282">
        <f>-42000</f>
        <v>-42000</v>
      </c>
      <c r="N15" s="458">
        <f t="shared" si="1"/>
        <v>0.05</v>
      </c>
    </row>
    <row r="16" spans="1:14" s="316" customFormat="1" ht="14.25" customHeight="1" outlineLevel="1">
      <c r="A16" s="309"/>
      <c r="B16" s="310" t="s">
        <v>8</v>
      </c>
      <c r="C16" s="295"/>
      <c r="D16" s="296">
        <v>0</v>
      </c>
      <c r="E16" s="296">
        <v>0</v>
      </c>
      <c r="F16" s="296">
        <v>0</v>
      </c>
      <c r="G16" s="297">
        <f>D16-E16</f>
        <v>0</v>
      </c>
      <c r="H16" s="298"/>
      <c r="I16" s="317">
        <v>0</v>
      </c>
      <c r="J16" s="304">
        <f t="shared" si="0"/>
        <v>0</v>
      </c>
      <c r="K16" s="314"/>
      <c r="L16" s="315">
        <v>0</v>
      </c>
      <c r="M16" s="314"/>
      <c r="N16" s="429"/>
    </row>
    <row r="17" spans="1:15" ht="11.25" customHeight="1" outlineLevel="2">
      <c r="C17" s="248" t="s">
        <v>35</v>
      </c>
      <c r="D17" s="278"/>
      <c r="E17" s="278">
        <v>0</v>
      </c>
      <c r="F17" s="269"/>
      <c r="G17" s="279"/>
      <c r="I17" s="280"/>
      <c r="J17" s="281">
        <f t="shared" si="0"/>
        <v>0</v>
      </c>
      <c r="K17" s="248"/>
      <c r="L17" s="282"/>
      <c r="N17" s="459"/>
    </row>
    <row r="18" spans="1:15" ht="11.25" customHeight="1" outlineLevel="2">
      <c r="C18" s="248" t="s">
        <v>36</v>
      </c>
      <c r="D18" s="278"/>
      <c r="E18" s="278">
        <v>0</v>
      </c>
      <c r="F18" s="278"/>
      <c r="G18" s="279"/>
      <c r="I18" s="280"/>
      <c r="J18" s="281">
        <f t="shared" si="0"/>
        <v>0</v>
      </c>
      <c r="K18" s="248"/>
      <c r="L18" s="282"/>
      <c r="N18" s="459"/>
    </row>
    <row r="19" spans="1:15" ht="11.25" customHeight="1" outlineLevel="2">
      <c r="C19" s="248" t="s">
        <v>131</v>
      </c>
      <c r="D19" s="282"/>
      <c r="E19" s="278">
        <v>0</v>
      </c>
      <c r="F19" s="278"/>
      <c r="G19" s="279"/>
      <c r="I19" s="280"/>
      <c r="J19" s="281">
        <f t="shared" si="0"/>
        <v>0</v>
      </c>
      <c r="K19" s="248"/>
      <c r="L19" s="282"/>
      <c r="N19" s="459"/>
    </row>
    <row r="20" spans="1:15" ht="11.25" customHeight="1" outlineLevel="2">
      <c r="C20" s="248" t="s">
        <v>132</v>
      </c>
      <c r="D20" s="278">
        <v>0</v>
      </c>
      <c r="E20" s="278">
        <v>0</v>
      </c>
      <c r="F20" s="278">
        <v>0</v>
      </c>
      <c r="G20" s="279"/>
      <c r="I20" s="280">
        <v>0</v>
      </c>
      <c r="J20" s="281">
        <f t="shared" si="0"/>
        <v>0</v>
      </c>
      <c r="K20" s="248"/>
      <c r="L20" s="282"/>
      <c r="N20" s="459"/>
    </row>
    <row r="21" spans="1:15" ht="11.25" customHeight="1" outlineLevel="2">
      <c r="B21" s="248"/>
      <c r="C21" s="248" t="s">
        <v>204</v>
      </c>
      <c r="D21" s="282"/>
      <c r="E21" s="278">
        <v>0</v>
      </c>
      <c r="F21" s="278">
        <v>0</v>
      </c>
      <c r="I21" s="280"/>
      <c r="J21" s="281">
        <f t="shared" si="0"/>
        <v>0</v>
      </c>
      <c r="K21" s="248"/>
      <c r="L21" s="282"/>
      <c r="N21" s="459"/>
    </row>
    <row r="22" spans="1:15" s="319" customFormat="1" ht="11.25" customHeight="1" outlineLevel="2">
      <c r="A22" s="303"/>
      <c r="B22" s="303" t="s">
        <v>43</v>
      </c>
      <c r="C22" s="295"/>
      <c r="D22" s="296">
        <v>85000</v>
      </c>
      <c r="E22" s="296">
        <v>56666.666666666664</v>
      </c>
      <c r="F22" s="296">
        <v>800</v>
      </c>
      <c r="G22" s="297">
        <f>D22-E22</f>
        <v>28333.333333333336</v>
      </c>
      <c r="H22" s="298"/>
      <c r="I22" s="317">
        <v>600</v>
      </c>
      <c r="J22" s="304">
        <f t="shared" si="0"/>
        <v>1200</v>
      </c>
      <c r="K22" s="298"/>
      <c r="L22" s="318">
        <f>L23</f>
        <v>11002.880000000001</v>
      </c>
      <c r="M22" s="298"/>
      <c r="N22" s="429">
        <f t="shared" si="1"/>
        <v>-0.87055435294117645</v>
      </c>
      <c r="O22" s="319" t="s">
        <v>240</v>
      </c>
    </row>
    <row r="23" spans="1:15" s="89" customFormat="1" ht="14.25" customHeight="1" outlineLevel="1">
      <c r="A23" s="274"/>
      <c r="B23" s="275"/>
      <c r="C23" s="248" t="s">
        <v>205</v>
      </c>
      <c r="D23" s="278">
        <v>85000</v>
      </c>
      <c r="E23" s="278">
        <v>56666.666666666664</v>
      </c>
      <c r="F23" s="278">
        <v>800</v>
      </c>
      <c r="G23" s="284"/>
      <c r="H23" s="248"/>
      <c r="I23" s="280">
        <v>600</v>
      </c>
      <c r="J23" s="281">
        <f t="shared" si="0"/>
        <v>1200</v>
      </c>
      <c r="K23" s="276"/>
      <c r="L23" s="277">
        <f>6250+4752.88</f>
        <v>11002.880000000001</v>
      </c>
      <c r="M23" s="276"/>
      <c r="N23" s="458">
        <f t="shared" si="1"/>
        <v>-0.87055435294117645</v>
      </c>
    </row>
    <row r="24" spans="1:15" s="316" customFormat="1" ht="13" customHeight="1" outlineLevel="1">
      <c r="A24" s="309"/>
      <c r="B24" s="320" t="s">
        <v>206</v>
      </c>
      <c r="C24" s="314"/>
      <c r="D24" s="312">
        <v>39000</v>
      </c>
      <c r="E24" s="296">
        <v>26000</v>
      </c>
      <c r="F24" s="296">
        <v>28440.659999999996</v>
      </c>
      <c r="G24" s="321"/>
      <c r="H24" s="298"/>
      <c r="I24" s="317">
        <v>16877.3</v>
      </c>
      <c r="J24" s="304">
        <f t="shared" si="0"/>
        <v>42660.989999999991</v>
      </c>
      <c r="K24" s="314"/>
      <c r="L24" s="312">
        <f>SUM(L25:L26)</f>
        <v>35000</v>
      </c>
      <c r="M24" s="314"/>
      <c r="N24" s="429">
        <f t="shared" si="1"/>
        <v>-0.10256410256410256</v>
      </c>
    </row>
    <row r="25" spans="1:15" s="90" customFormat="1" ht="13" customHeight="1" outlineLevel="1">
      <c r="A25" s="274"/>
      <c r="B25" s="275"/>
      <c r="C25" s="248" t="s">
        <v>207</v>
      </c>
      <c r="D25" s="277">
        <v>24000</v>
      </c>
      <c r="E25" s="277">
        <v>16000</v>
      </c>
      <c r="F25" s="278">
        <v>11880.72</v>
      </c>
      <c r="G25" s="279"/>
      <c r="H25" s="248"/>
      <c r="I25" s="280">
        <v>10878.31</v>
      </c>
      <c r="J25" s="281">
        <f t="shared" si="0"/>
        <v>17821.079999999998</v>
      </c>
      <c r="K25" s="276"/>
      <c r="L25" s="277">
        <v>17000</v>
      </c>
      <c r="M25" s="276"/>
      <c r="N25" s="458">
        <f t="shared" si="1"/>
        <v>-0.29166666666666669</v>
      </c>
    </row>
    <row r="26" spans="1:15" s="90" customFormat="1" ht="13" customHeight="1" outlineLevel="1">
      <c r="A26" s="274"/>
      <c r="B26" s="275"/>
      <c r="C26" s="248" t="s">
        <v>134</v>
      </c>
      <c r="D26" s="277">
        <v>15000</v>
      </c>
      <c r="E26" s="277">
        <v>10000</v>
      </c>
      <c r="F26" s="278">
        <v>16559.939999999999</v>
      </c>
      <c r="G26" s="279"/>
      <c r="H26" s="248"/>
      <c r="I26" s="285">
        <v>5998.99</v>
      </c>
      <c r="J26" s="281">
        <f t="shared" si="0"/>
        <v>24839.909999999996</v>
      </c>
      <c r="K26" s="276"/>
      <c r="L26" s="277">
        <v>18000</v>
      </c>
      <c r="M26" s="276"/>
      <c r="N26" s="458">
        <f t="shared" si="1"/>
        <v>0.2</v>
      </c>
    </row>
    <row r="27" spans="1:15" s="319" customFormat="1" ht="11.25" customHeight="1" outlineLevel="2">
      <c r="A27" s="298"/>
      <c r="B27" s="295" t="s">
        <v>45</v>
      </c>
      <c r="C27" s="298"/>
      <c r="D27" s="312">
        <v>500</v>
      </c>
      <c r="E27" s="312">
        <v>333.33333333333331</v>
      </c>
      <c r="F27" s="322">
        <v>2000</v>
      </c>
      <c r="G27" s="321"/>
      <c r="H27" s="298"/>
      <c r="I27" s="323">
        <v>4422.13</v>
      </c>
      <c r="J27" s="304">
        <f t="shared" si="0"/>
        <v>3000</v>
      </c>
      <c r="K27" s="298"/>
      <c r="L27" s="318">
        <v>0</v>
      </c>
      <c r="M27" s="298"/>
      <c r="N27" s="429">
        <f t="shared" si="1"/>
        <v>-1</v>
      </c>
    </row>
    <row r="28" spans="1:15" s="89" customFormat="1" ht="14.25" customHeight="1" outlineLevel="1">
      <c r="A28" s="274"/>
      <c r="B28" s="275"/>
      <c r="C28" s="248" t="s">
        <v>47</v>
      </c>
      <c r="D28" s="286">
        <v>500</v>
      </c>
      <c r="E28" s="277">
        <v>333.33333333333331</v>
      </c>
      <c r="F28" s="277">
        <v>0</v>
      </c>
      <c r="G28" s="270">
        <f>D28-E28</f>
        <v>166.66666666666669</v>
      </c>
      <c r="H28" s="248"/>
      <c r="I28" s="285">
        <v>0</v>
      </c>
      <c r="J28" s="281">
        <f t="shared" si="0"/>
        <v>0</v>
      </c>
      <c r="K28" s="276"/>
      <c r="L28" s="277"/>
      <c r="M28" s="276"/>
      <c r="N28" s="458">
        <f t="shared" si="1"/>
        <v>-1</v>
      </c>
    </row>
    <row r="29" spans="1:15" ht="11.25" customHeight="1" outlineLevel="2">
      <c r="C29" s="248" t="s">
        <v>61</v>
      </c>
      <c r="D29" s="286">
        <v>0</v>
      </c>
      <c r="E29" s="286">
        <v>0</v>
      </c>
      <c r="F29" s="286">
        <v>0</v>
      </c>
      <c r="G29" s="279"/>
      <c r="I29" s="285">
        <v>0</v>
      </c>
      <c r="J29" s="281">
        <f t="shared" si="0"/>
        <v>0</v>
      </c>
      <c r="K29" s="248"/>
      <c r="L29" s="282"/>
      <c r="N29" s="459"/>
    </row>
    <row r="30" spans="1:15" ht="11.25" customHeight="1" outlineLevel="2">
      <c r="C30" s="248" t="s">
        <v>208</v>
      </c>
      <c r="D30" s="278">
        <v>0</v>
      </c>
      <c r="E30" s="286">
        <v>0</v>
      </c>
      <c r="F30" s="286">
        <v>2000</v>
      </c>
      <c r="G30" s="279"/>
      <c r="I30" s="285">
        <v>4422.13</v>
      </c>
      <c r="J30" s="281">
        <f t="shared" si="0"/>
        <v>3000</v>
      </c>
      <c r="K30" s="248"/>
      <c r="L30" s="282"/>
      <c r="N30" s="459"/>
    </row>
    <row r="31" spans="1:15" s="302" customFormat="1" ht="21" customHeight="1">
      <c r="A31" s="295"/>
      <c r="B31" s="295" t="s">
        <v>48</v>
      </c>
      <c r="C31" s="295"/>
      <c r="D31" s="296">
        <v>0</v>
      </c>
      <c r="E31" s="296">
        <v>0</v>
      </c>
      <c r="F31" s="322">
        <v>258.60000000000002</v>
      </c>
      <c r="G31" s="297">
        <f>D31-E31</f>
        <v>0</v>
      </c>
      <c r="H31" s="298"/>
      <c r="I31" s="324">
        <v>98.34</v>
      </c>
      <c r="J31" s="304">
        <f t="shared" si="0"/>
        <v>387.90000000000003</v>
      </c>
      <c r="K31" s="295"/>
      <c r="L31" s="318">
        <v>0</v>
      </c>
      <c r="M31" s="295"/>
      <c r="N31" s="429"/>
    </row>
    <row r="32" spans="1:15" s="91" customFormat="1" ht="14.25" customHeight="1" outlineLevel="1">
      <c r="A32" s="271"/>
      <c r="B32" s="272"/>
      <c r="C32" s="248" t="s">
        <v>135</v>
      </c>
      <c r="D32" s="278">
        <v>0</v>
      </c>
      <c r="E32" s="278">
        <v>0</v>
      </c>
      <c r="F32" s="278">
        <v>0</v>
      </c>
      <c r="G32" s="270"/>
      <c r="H32" s="248"/>
      <c r="I32" s="280">
        <v>0</v>
      </c>
      <c r="J32" s="281">
        <f t="shared" si="0"/>
        <v>0</v>
      </c>
      <c r="K32" s="272"/>
      <c r="L32" s="273"/>
      <c r="M32" s="272"/>
      <c r="N32" s="459"/>
    </row>
    <row r="33" spans="1:14" ht="11.25" customHeight="1" outlineLevel="2">
      <c r="C33" s="248" t="s">
        <v>136</v>
      </c>
      <c r="D33" s="278">
        <v>0</v>
      </c>
      <c r="E33" s="278">
        <v>0</v>
      </c>
      <c r="F33" s="278">
        <v>258.60000000000002</v>
      </c>
      <c r="G33" s="279"/>
      <c r="I33" s="280">
        <v>98.34</v>
      </c>
      <c r="J33" s="281">
        <f t="shared" si="0"/>
        <v>387.90000000000003</v>
      </c>
      <c r="K33" s="248"/>
      <c r="L33" s="282"/>
      <c r="N33" s="459"/>
    </row>
    <row r="34" spans="1:14" s="319" customFormat="1" ht="29" customHeight="1" outlineLevel="2">
      <c r="A34" s="295" t="s">
        <v>10</v>
      </c>
      <c r="B34" s="295"/>
      <c r="C34" s="295"/>
      <c r="D34" s="296">
        <v>975551.72000000009</v>
      </c>
      <c r="E34" s="296">
        <v>650367.81333333335</v>
      </c>
      <c r="F34" s="296">
        <v>625071.47000000009</v>
      </c>
      <c r="G34" s="321"/>
      <c r="H34" s="298"/>
      <c r="I34" s="317">
        <v>459814.68</v>
      </c>
      <c r="J34" s="304">
        <f t="shared" si="0"/>
        <v>937607.20500000007</v>
      </c>
      <c r="K34" s="298"/>
      <c r="L34" s="318">
        <f>L35+L40+L63+L74</f>
        <v>993857.80050200003</v>
      </c>
      <c r="M34" s="298"/>
      <c r="N34" s="429">
        <f t="shared" si="1"/>
        <v>1.8764848779109257E-2</v>
      </c>
    </row>
    <row r="35" spans="1:14" s="319" customFormat="1" ht="16" customHeight="1" outlineLevel="2">
      <c r="A35" s="298"/>
      <c r="B35" s="303" t="s">
        <v>11</v>
      </c>
      <c r="C35" s="295"/>
      <c r="D35" s="296">
        <v>204000</v>
      </c>
      <c r="E35" s="296">
        <v>136000</v>
      </c>
      <c r="F35" s="296">
        <v>115636.15</v>
      </c>
      <c r="G35" s="321"/>
      <c r="H35" s="298"/>
      <c r="I35" s="317">
        <v>94481.02</v>
      </c>
      <c r="J35" s="304">
        <f t="shared" si="0"/>
        <v>173454.22499999998</v>
      </c>
      <c r="K35" s="298"/>
      <c r="L35" s="318">
        <f>SUM(L36:L39)</f>
        <v>176000</v>
      </c>
      <c r="M35" s="298"/>
      <c r="N35" s="429">
        <f t="shared" si="1"/>
        <v>-0.13725490196078433</v>
      </c>
    </row>
    <row r="36" spans="1:14" ht="11.25" customHeight="1" outlineLevel="2">
      <c r="C36" s="248" t="s">
        <v>51</v>
      </c>
      <c r="D36" s="278">
        <v>140000</v>
      </c>
      <c r="E36" s="278">
        <v>93333.333333333328</v>
      </c>
      <c r="F36" s="278">
        <v>79611.429999999993</v>
      </c>
      <c r="G36" s="279"/>
      <c r="I36" s="280">
        <v>64823.02</v>
      </c>
      <c r="J36" s="281">
        <f t="shared" si="0"/>
        <v>119417.14499999999</v>
      </c>
      <c r="K36" s="248"/>
      <c r="L36" s="282">
        <f>120000</f>
        <v>120000</v>
      </c>
      <c r="N36" s="458">
        <f t="shared" si="1"/>
        <v>-0.14285714285714285</v>
      </c>
    </row>
    <row r="37" spans="1:14" s="89" customFormat="1" ht="14.25" customHeight="1" outlineLevel="1">
      <c r="A37" s="274"/>
      <c r="B37" s="276"/>
      <c r="C37" s="248" t="s">
        <v>209</v>
      </c>
      <c r="D37" s="278">
        <v>15000</v>
      </c>
      <c r="E37" s="278">
        <v>10000</v>
      </c>
      <c r="F37" s="278">
        <v>5502.21</v>
      </c>
      <c r="G37" s="270">
        <f>D37-E37</f>
        <v>5000</v>
      </c>
      <c r="H37" s="248"/>
      <c r="I37" s="280">
        <v>6778.5</v>
      </c>
      <c r="J37" s="281">
        <f t="shared" si="0"/>
        <v>8253.3150000000005</v>
      </c>
      <c r="K37" s="276"/>
      <c r="L37" s="277">
        <v>9000</v>
      </c>
      <c r="M37" s="276"/>
      <c r="N37" s="458">
        <f t="shared" si="1"/>
        <v>-0.4</v>
      </c>
    </row>
    <row r="38" spans="1:14" ht="11.25" customHeight="1" outlineLevel="2">
      <c r="C38" s="248" t="s">
        <v>210</v>
      </c>
      <c r="D38" s="278">
        <v>32000</v>
      </c>
      <c r="E38" s="278">
        <v>21333.333333333332</v>
      </c>
      <c r="F38" s="283">
        <v>12015.59</v>
      </c>
      <c r="G38" s="360"/>
      <c r="H38" s="460"/>
      <c r="I38" s="460">
        <v>14866.82</v>
      </c>
      <c r="J38" s="283">
        <f t="shared" si="0"/>
        <v>18023.385000000002</v>
      </c>
      <c r="K38" s="460"/>
      <c r="L38" s="461">
        <v>20000</v>
      </c>
      <c r="N38" s="458">
        <f t="shared" si="1"/>
        <v>-0.375</v>
      </c>
    </row>
    <row r="39" spans="1:14" ht="11.25" customHeight="1" outlineLevel="2">
      <c r="C39" s="248" t="s">
        <v>54</v>
      </c>
      <c r="D39" s="278">
        <v>17000</v>
      </c>
      <c r="E39" s="278">
        <v>11333.333333333334</v>
      </c>
      <c r="F39" s="283">
        <v>18506.919999999998</v>
      </c>
      <c r="G39" s="360"/>
      <c r="H39" s="460"/>
      <c r="I39" s="460">
        <v>8012.68</v>
      </c>
      <c r="J39" s="283">
        <f t="shared" si="0"/>
        <v>27760.379999999997</v>
      </c>
      <c r="K39" s="460"/>
      <c r="L39" s="461">
        <v>27000</v>
      </c>
      <c r="N39" s="458">
        <f t="shared" si="1"/>
        <v>0.58823529411764708</v>
      </c>
    </row>
    <row r="40" spans="1:14" s="319" customFormat="1" ht="20.5" customHeight="1" outlineLevel="2">
      <c r="A40" s="298"/>
      <c r="B40" s="303" t="s">
        <v>12</v>
      </c>
      <c r="C40" s="295"/>
      <c r="D40" s="296">
        <v>104770</v>
      </c>
      <c r="E40" s="296">
        <v>69846.666666666672</v>
      </c>
      <c r="F40" s="369">
        <v>93980.310000000027</v>
      </c>
      <c r="G40" s="462"/>
      <c r="H40" s="463"/>
      <c r="I40" s="464">
        <v>58270.71</v>
      </c>
      <c r="J40" s="369">
        <f t="shared" si="0"/>
        <v>140970.46500000003</v>
      </c>
      <c r="K40" s="463"/>
      <c r="L40" s="465">
        <f>SUM(L41:L62)</f>
        <v>118850</v>
      </c>
      <c r="M40" s="298"/>
      <c r="N40" s="429">
        <f t="shared" si="1"/>
        <v>0.13438961534790494</v>
      </c>
    </row>
    <row r="41" spans="1:14" ht="11.25" customHeight="1" outlineLevel="2">
      <c r="C41" s="248" t="s">
        <v>56</v>
      </c>
      <c r="D41" s="278">
        <v>0</v>
      </c>
      <c r="E41" s="278">
        <v>0</v>
      </c>
      <c r="F41" s="359">
        <v>70</v>
      </c>
      <c r="G41" s="360"/>
      <c r="H41" s="460"/>
      <c r="I41" s="460">
        <v>0</v>
      </c>
      <c r="J41" s="283">
        <f t="shared" si="0"/>
        <v>105</v>
      </c>
      <c r="K41" s="460"/>
      <c r="L41" s="461"/>
      <c r="N41" s="458"/>
    </row>
    <row r="42" spans="1:14" ht="11.25" customHeight="1" outlineLevel="2">
      <c r="C42" s="248" t="s">
        <v>70</v>
      </c>
      <c r="D42" s="278">
        <v>0</v>
      </c>
      <c r="E42" s="278">
        <v>0</v>
      </c>
      <c r="F42" s="283">
        <v>0</v>
      </c>
      <c r="G42" s="360"/>
      <c r="H42" s="460"/>
      <c r="I42" s="460">
        <v>0</v>
      </c>
      <c r="J42" s="283">
        <f t="shared" si="0"/>
        <v>0</v>
      </c>
      <c r="K42" s="460"/>
      <c r="L42" s="461"/>
      <c r="N42" s="458"/>
    </row>
    <row r="43" spans="1:14" ht="11.25" customHeight="1" outlineLevel="2">
      <c r="C43" s="248" t="s">
        <v>58</v>
      </c>
      <c r="D43" s="278">
        <v>12000</v>
      </c>
      <c r="E43" s="278">
        <v>8000</v>
      </c>
      <c r="F43" s="283">
        <v>6937.65</v>
      </c>
      <c r="G43" s="360"/>
      <c r="H43" s="460"/>
      <c r="I43" s="460">
        <v>5869.1</v>
      </c>
      <c r="J43" s="283">
        <f t="shared" si="0"/>
        <v>10406.474999999999</v>
      </c>
      <c r="K43" s="460"/>
      <c r="L43" s="461">
        <v>11000</v>
      </c>
      <c r="N43" s="458">
        <f t="shared" si="1"/>
        <v>-8.3333333333333329E-2</v>
      </c>
    </row>
    <row r="44" spans="1:14" ht="11.25" customHeight="1" outlineLevel="2">
      <c r="C44" s="248" t="s">
        <v>59</v>
      </c>
      <c r="D44" s="278">
        <v>30000</v>
      </c>
      <c r="E44" s="278">
        <v>20000</v>
      </c>
      <c r="F44" s="283">
        <v>15654.37</v>
      </c>
      <c r="G44" s="360"/>
      <c r="H44" s="460"/>
      <c r="I44" s="460">
        <v>19510.849999999999</v>
      </c>
      <c r="J44" s="283">
        <f>F44/8*12</f>
        <v>23481.555</v>
      </c>
      <c r="K44" s="460"/>
      <c r="L44" s="461">
        <v>28000</v>
      </c>
      <c r="N44" s="458">
        <f t="shared" si="1"/>
        <v>-6.6666666666666666E-2</v>
      </c>
    </row>
    <row r="45" spans="1:14" ht="11.25" customHeight="1" outlineLevel="2">
      <c r="C45" s="248" t="s">
        <v>60</v>
      </c>
      <c r="D45" s="278">
        <v>70</v>
      </c>
      <c r="E45" s="278">
        <v>46.666666666666664</v>
      </c>
      <c r="F45" s="283">
        <v>0</v>
      </c>
      <c r="G45" s="360"/>
      <c r="H45" s="460"/>
      <c r="I45" s="460">
        <v>19.010000000000002</v>
      </c>
      <c r="J45" s="283">
        <f t="shared" si="0"/>
        <v>0</v>
      </c>
      <c r="K45" s="460"/>
      <c r="L45" s="461"/>
      <c r="N45" s="458">
        <f t="shared" si="1"/>
        <v>-1</v>
      </c>
    </row>
    <row r="46" spans="1:14" ht="11.25" customHeight="1" outlineLevel="2">
      <c r="C46" s="248" t="s">
        <v>61</v>
      </c>
      <c r="D46" s="278">
        <v>0</v>
      </c>
      <c r="E46" s="278">
        <v>0</v>
      </c>
      <c r="F46" s="283">
        <v>0</v>
      </c>
      <c r="G46" s="360"/>
      <c r="H46" s="460"/>
      <c r="I46" s="460">
        <v>200.9</v>
      </c>
      <c r="J46" s="283">
        <f t="shared" si="0"/>
        <v>0</v>
      </c>
      <c r="K46" s="460"/>
      <c r="L46" s="461"/>
      <c r="N46" s="458"/>
    </row>
    <row r="47" spans="1:14" ht="11.25" customHeight="1" outlineLevel="2">
      <c r="C47" s="248" t="s">
        <v>62</v>
      </c>
      <c r="D47" s="278">
        <v>3500</v>
      </c>
      <c r="E47" s="278">
        <v>2333.3333333333335</v>
      </c>
      <c r="F47" s="283">
        <v>4688.76</v>
      </c>
      <c r="G47" s="360"/>
      <c r="H47" s="460"/>
      <c r="I47" s="460">
        <v>2963.83</v>
      </c>
      <c r="J47" s="283">
        <f t="shared" si="0"/>
        <v>7033.14</v>
      </c>
      <c r="K47" s="460"/>
      <c r="L47" s="461">
        <v>4500</v>
      </c>
      <c r="N47" s="458">
        <f t="shared" si="1"/>
        <v>0.2857142857142857</v>
      </c>
    </row>
    <row r="48" spans="1:14" ht="11.25" customHeight="1" outlineLevel="2">
      <c r="C48" s="248" t="s">
        <v>63</v>
      </c>
      <c r="D48" s="278">
        <v>0</v>
      </c>
      <c r="E48" s="278">
        <v>0</v>
      </c>
      <c r="F48" s="283">
        <v>0</v>
      </c>
      <c r="G48" s="360"/>
      <c r="H48" s="460"/>
      <c r="I48" s="460">
        <v>0</v>
      </c>
      <c r="J48" s="283">
        <f t="shared" si="0"/>
        <v>0</v>
      </c>
      <c r="K48" s="460"/>
      <c r="L48" s="461"/>
      <c r="N48" s="458"/>
    </row>
    <row r="49" spans="1:15" ht="11.25" customHeight="1" outlineLevel="2">
      <c r="C49" s="248" t="s">
        <v>64</v>
      </c>
      <c r="D49" s="278">
        <v>500</v>
      </c>
      <c r="E49" s="278">
        <v>333.33333333333331</v>
      </c>
      <c r="F49" s="283">
        <v>201.52</v>
      </c>
      <c r="G49" s="360"/>
      <c r="H49" s="460"/>
      <c r="I49" s="460">
        <v>315.33999999999997</v>
      </c>
      <c r="J49" s="283">
        <f t="shared" si="0"/>
        <v>302.28000000000003</v>
      </c>
      <c r="K49" s="460"/>
      <c r="L49" s="461">
        <v>300</v>
      </c>
      <c r="N49" s="458">
        <f t="shared" si="1"/>
        <v>-0.4</v>
      </c>
    </row>
    <row r="50" spans="1:15" ht="11.25" customHeight="1" outlineLevel="2">
      <c r="C50" s="248" t="s">
        <v>65</v>
      </c>
      <c r="D50" s="278">
        <v>700</v>
      </c>
      <c r="E50" s="278">
        <v>466.66666666666669</v>
      </c>
      <c r="F50" s="283">
        <v>997.68</v>
      </c>
      <c r="G50" s="360"/>
      <c r="H50" s="460"/>
      <c r="I50" s="460">
        <v>0</v>
      </c>
      <c r="J50" s="283">
        <f t="shared" si="0"/>
        <v>1496.52</v>
      </c>
      <c r="K50" s="460"/>
      <c r="L50" s="461">
        <v>1800</v>
      </c>
      <c r="N50" s="458">
        <f t="shared" si="1"/>
        <v>1.5714285714285714</v>
      </c>
    </row>
    <row r="51" spans="1:15" ht="11.25" customHeight="1" outlineLevel="2">
      <c r="C51" s="248" t="s">
        <v>66</v>
      </c>
      <c r="D51" s="278">
        <v>19000</v>
      </c>
      <c r="E51" s="278">
        <v>12666.666666666666</v>
      </c>
      <c r="F51" s="283">
        <v>11915.81</v>
      </c>
      <c r="G51" s="360"/>
      <c r="H51" s="460"/>
      <c r="I51" s="460">
        <v>10123.82</v>
      </c>
      <c r="J51" s="283">
        <f t="shared" si="0"/>
        <v>17873.715</v>
      </c>
      <c r="K51" s="460"/>
      <c r="L51" s="461">
        <v>19000</v>
      </c>
      <c r="N51" s="458">
        <f t="shared" si="1"/>
        <v>0</v>
      </c>
    </row>
    <row r="52" spans="1:15" ht="11.25" customHeight="1" outlineLevel="2">
      <c r="C52" s="248" t="s">
        <v>67</v>
      </c>
      <c r="D52" s="278">
        <v>2500</v>
      </c>
      <c r="E52" s="278">
        <v>1666.6666666666667</v>
      </c>
      <c r="F52" s="283">
        <v>1549.8</v>
      </c>
      <c r="G52" s="360"/>
      <c r="H52" s="460"/>
      <c r="I52" s="460">
        <v>1109.3</v>
      </c>
      <c r="J52" s="283">
        <f t="shared" si="0"/>
        <v>2324.6999999999998</v>
      </c>
      <c r="K52" s="460"/>
      <c r="L52" s="461">
        <v>2500</v>
      </c>
      <c r="N52" s="458">
        <f t="shared" si="1"/>
        <v>0</v>
      </c>
    </row>
    <row r="53" spans="1:15" ht="11.25" customHeight="1" outlineLevel="2">
      <c r="C53" s="248" t="s">
        <v>68</v>
      </c>
      <c r="D53" s="278">
        <v>5000</v>
      </c>
      <c r="E53" s="278">
        <v>3333.3333333333335</v>
      </c>
      <c r="F53" s="283">
        <v>2853.44</v>
      </c>
      <c r="G53" s="360"/>
      <c r="H53" s="460"/>
      <c r="I53" s="460">
        <v>2387.5100000000002</v>
      </c>
      <c r="J53" s="283">
        <f t="shared" si="0"/>
        <v>4280.16</v>
      </c>
      <c r="K53" s="460"/>
      <c r="L53" s="461">
        <v>4500</v>
      </c>
      <c r="N53" s="458">
        <f t="shared" si="1"/>
        <v>-0.1</v>
      </c>
    </row>
    <row r="54" spans="1:15" ht="11.25" customHeight="1" outlineLevel="2">
      <c r="C54" s="248" t="s">
        <v>69</v>
      </c>
      <c r="D54" s="278">
        <v>18000</v>
      </c>
      <c r="E54" s="278">
        <v>12000</v>
      </c>
      <c r="F54" s="283">
        <v>24573.66</v>
      </c>
      <c r="G54" s="360"/>
      <c r="H54" s="460"/>
      <c r="I54" s="460">
        <v>8648.61</v>
      </c>
      <c r="J54" s="283">
        <f t="shared" si="0"/>
        <v>36860.49</v>
      </c>
      <c r="K54" s="460"/>
      <c r="L54" s="461">
        <v>30000</v>
      </c>
      <c r="N54" s="458">
        <f t="shared" si="1"/>
        <v>0.66666666666666663</v>
      </c>
    </row>
    <row r="55" spans="1:15" ht="11.25" customHeight="1" outlineLevel="2">
      <c r="C55" s="248" t="s">
        <v>71</v>
      </c>
      <c r="D55" s="278">
        <v>8000</v>
      </c>
      <c r="E55" s="278">
        <v>5333.333333333333</v>
      </c>
      <c r="F55" s="283">
        <v>4583.68</v>
      </c>
      <c r="G55" s="360"/>
      <c r="H55" s="460"/>
      <c r="I55" s="460">
        <v>2354.88</v>
      </c>
      <c r="J55" s="283">
        <f t="shared" si="0"/>
        <v>6875.52</v>
      </c>
      <c r="K55" s="460"/>
      <c r="L55" s="461">
        <v>7250</v>
      </c>
      <c r="N55" s="458">
        <f t="shared" si="1"/>
        <v>-9.375E-2</v>
      </c>
    </row>
    <row r="56" spans="1:15" ht="11.25" customHeight="1" outlineLevel="2">
      <c r="C56" s="248" t="s">
        <v>73</v>
      </c>
      <c r="D56" s="278">
        <v>0</v>
      </c>
      <c r="E56" s="278">
        <v>0</v>
      </c>
      <c r="F56" s="283">
        <v>1957.69</v>
      </c>
      <c r="G56" s="360"/>
      <c r="H56" s="460"/>
      <c r="I56" s="460">
        <v>1348.39</v>
      </c>
      <c r="J56" s="283">
        <f t="shared" si="0"/>
        <v>2936.5349999999999</v>
      </c>
      <c r="K56" s="460"/>
      <c r="L56" s="461">
        <v>3000</v>
      </c>
      <c r="N56" s="458"/>
    </row>
    <row r="57" spans="1:15" ht="11.25" customHeight="1" outlineLevel="2">
      <c r="C57" s="248" t="s">
        <v>74</v>
      </c>
      <c r="D57" s="278">
        <v>2000</v>
      </c>
      <c r="E57" s="278">
        <v>1333.3333333333333</v>
      </c>
      <c r="F57" s="283">
        <v>6245.11</v>
      </c>
      <c r="G57" s="360"/>
      <c r="H57" s="460"/>
      <c r="I57" s="460">
        <v>248.84</v>
      </c>
      <c r="J57" s="283">
        <f t="shared" si="0"/>
        <v>9367.6649999999991</v>
      </c>
      <c r="K57" s="460"/>
      <c r="L57" s="461">
        <v>6500</v>
      </c>
      <c r="N57" s="458">
        <f t="shared" si="1"/>
        <v>2.25</v>
      </c>
    </row>
    <row r="58" spans="1:15" ht="11.25" customHeight="1" outlineLevel="2">
      <c r="C58" s="248" t="s">
        <v>211</v>
      </c>
      <c r="D58" s="278">
        <v>700</v>
      </c>
      <c r="E58" s="278">
        <v>466.66666666666669</v>
      </c>
      <c r="F58" s="283">
        <v>0</v>
      </c>
      <c r="G58" s="360"/>
      <c r="H58" s="460"/>
      <c r="I58" s="460">
        <v>726.11</v>
      </c>
      <c r="J58" s="283">
        <f t="shared" si="0"/>
        <v>0</v>
      </c>
      <c r="K58" s="460"/>
      <c r="L58" s="461"/>
      <c r="N58" s="458">
        <f t="shared" si="1"/>
        <v>-1</v>
      </c>
    </row>
    <row r="59" spans="1:15" ht="11.25" customHeight="1" outlineLevel="2">
      <c r="C59" s="248" t="s">
        <v>210</v>
      </c>
      <c r="D59" s="278">
        <v>0</v>
      </c>
      <c r="E59" s="278">
        <v>0</v>
      </c>
      <c r="F59" s="283">
        <v>0</v>
      </c>
      <c r="G59" s="360"/>
      <c r="H59" s="460"/>
      <c r="I59" s="460">
        <v>0</v>
      </c>
      <c r="J59" s="283">
        <f t="shared" si="0"/>
        <v>0</v>
      </c>
      <c r="K59" s="460"/>
      <c r="L59" s="461"/>
      <c r="N59" s="458"/>
    </row>
    <row r="60" spans="1:15" ht="11.25" customHeight="1" outlineLevel="2">
      <c r="C60" s="248" t="s">
        <v>76</v>
      </c>
      <c r="D60" s="278">
        <v>800</v>
      </c>
      <c r="E60" s="278">
        <v>533.33333333333337</v>
      </c>
      <c r="F60" s="283">
        <v>238.11</v>
      </c>
      <c r="G60" s="360"/>
      <c r="H60" s="460"/>
      <c r="I60" s="460">
        <v>444.22</v>
      </c>
      <c r="J60" s="283">
        <f t="shared" si="0"/>
        <v>357.16500000000002</v>
      </c>
      <c r="K60" s="460"/>
      <c r="L60" s="461">
        <v>500</v>
      </c>
      <c r="N60" s="458">
        <f t="shared" si="1"/>
        <v>-0.375</v>
      </c>
    </row>
    <row r="61" spans="1:15" ht="11.25" customHeight="1" outlineLevel="2">
      <c r="C61" s="248" t="s">
        <v>77</v>
      </c>
      <c r="D61" s="278">
        <v>2000</v>
      </c>
      <c r="E61" s="278">
        <v>1333.3333333333333</v>
      </c>
      <c r="F61" s="283">
        <v>0</v>
      </c>
      <c r="G61" s="360"/>
      <c r="H61" s="460"/>
      <c r="I61" s="460">
        <v>2000</v>
      </c>
      <c r="J61" s="283">
        <f t="shared" si="0"/>
        <v>0</v>
      </c>
      <c r="K61" s="460"/>
      <c r="L61" s="461">
        <v>0</v>
      </c>
      <c r="N61" s="458">
        <f t="shared" si="1"/>
        <v>-1</v>
      </c>
    </row>
    <row r="62" spans="1:15" s="91" customFormat="1" ht="14.25" customHeight="1" outlineLevel="1">
      <c r="A62" s="271"/>
      <c r="B62" s="272"/>
      <c r="C62" s="248" t="s">
        <v>78</v>
      </c>
      <c r="D62" s="278">
        <v>0</v>
      </c>
      <c r="E62" s="278">
        <v>0</v>
      </c>
      <c r="F62" s="283">
        <v>0</v>
      </c>
      <c r="G62" s="355"/>
      <c r="H62" s="460"/>
      <c r="I62" s="460">
        <v>0</v>
      </c>
      <c r="J62" s="283">
        <f t="shared" si="0"/>
        <v>0</v>
      </c>
      <c r="K62" s="466"/>
      <c r="L62" s="356">
        <v>0</v>
      </c>
      <c r="M62" s="272"/>
      <c r="N62" s="458"/>
    </row>
    <row r="63" spans="1:15" s="319" customFormat="1" ht="11.25" customHeight="1" outlineLevel="2">
      <c r="A63" s="298"/>
      <c r="B63" s="303" t="s">
        <v>13</v>
      </c>
      <c r="C63" s="295"/>
      <c r="D63" s="296">
        <v>642781.72000000009</v>
      </c>
      <c r="E63" s="296">
        <v>428521.14666666673</v>
      </c>
      <c r="F63" s="369">
        <v>391090.73000000004</v>
      </c>
      <c r="G63" s="467">
        <f>D63-E63</f>
        <v>214260.57333333336</v>
      </c>
      <c r="H63" s="463"/>
      <c r="I63" s="464">
        <v>289900.19</v>
      </c>
      <c r="J63" s="369">
        <f t="shared" si="0"/>
        <v>586636.09500000009</v>
      </c>
      <c r="K63" s="463"/>
      <c r="L63" s="465">
        <f>SUM(L64:L71)</f>
        <v>674007.80050200003</v>
      </c>
      <c r="M63" s="298"/>
      <c r="N63" s="429">
        <f t="shared" si="1"/>
        <v>4.8579602577994804E-2</v>
      </c>
      <c r="O63" s="319" t="s">
        <v>245</v>
      </c>
    </row>
    <row r="64" spans="1:15" ht="11.25" customHeight="1" outlineLevel="2">
      <c r="C64" s="248" t="s">
        <v>79</v>
      </c>
      <c r="D64" s="283">
        <v>511781.2</v>
      </c>
      <c r="E64" s="283">
        <v>341187.46666666667</v>
      </c>
      <c r="F64" s="283">
        <v>324615.92</v>
      </c>
      <c r="G64" s="360"/>
      <c r="H64" s="460"/>
      <c r="I64" s="460">
        <v>235902.92</v>
      </c>
      <c r="J64" s="283">
        <f t="shared" si="0"/>
        <v>486923.88</v>
      </c>
      <c r="K64" s="460"/>
      <c r="L64" s="461">
        <f>(J64+30000)*1.05</f>
        <v>542770.07400000002</v>
      </c>
      <c r="N64" s="458">
        <f t="shared" si="1"/>
        <v>6.0551020631473003E-2</v>
      </c>
    </row>
    <row r="65" spans="1:14" ht="11.25" customHeight="1" outlineLevel="2">
      <c r="C65" s="248" t="s">
        <v>194</v>
      </c>
      <c r="D65" s="283">
        <v>0</v>
      </c>
      <c r="E65" s="283">
        <v>0</v>
      </c>
      <c r="F65" s="283">
        <v>0</v>
      </c>
      <c r="G65" s="360"/>
      <c r="H65" s="460"/>
      <c r="I65" s="460">
        <v>0</v>
      </c>
      <c r="J65" s="283">
        <f t="shared" si="0"/>
        <v>0</v>
      </c>
      <c r="K65" s="460"/>
      <c r="L65" s="461">
        <v>0</v>
      </c>
      <c r="N65" s="458"/>
    </row>
    <row r="66" spans="1:14" ht="11.25" customHeight="1" outlineLevel="2">
      <c r="C66" s="248" t="s">
        <v>138</v>
      </c>
      <c r="D66" s="283">
        <v>114127.21</v>
      </c>
      <c r="E66" s="283">
        <v>76084.806666666671</v>
      </c>
      <c r="F66" s="283">
        <v>61867.22</v>
      </c>
      <c r="G66" s="360"/>
      <c r="H66" s="460"/>
      <c r="I66" s="460">
        <v>48084.82</v>
      </c>
      <c r="J66" s="283">
        <f t="shared" si="0"/>
        <v>92800.83</v>
      </c>
      <c r="K66" s="460"/>
      <c r="L66" s="461">
        <f>L64*0.223</f>
        <v>121037.726502</v>
      </c>
      <c r="N66" s="458">
        <f t="shared" si="1"/>
        <v>6.0550998328969909E-2</v>
      </c>
    </row>
    <row r="67" spans="1:14" ht="11.25" customHeight="1" outlineLevel="2">
      <c r="C67" s="248" t="s">
        <v>82</v>
      </c>
      <c r="D67" s="278">
        <v>9873.31</v>
      </c>
      <c r="E67" s="283">
        <v>6582.206666666666</v>
      </c>
      <c r="F67" s="283">
        <v>3890.84</v>
      </c>
      <c r="G67" s="360"/>
      <c r="H67" s="460"/>
      <c r="I67" s="460">
        <v>4388.8999999999996</v>
      </c>
      <c r="J67" s="283">
        <f t="shared" si="0"/>
        <v>5836.26</v>
      </c>
      <c r="K67" s="460"/>
      <c r="L67" s="461">
        <v>7600</v>
      </c>
      <c r="N67" s="458">
        <f t="shared" si="1"/>
        <v>-0.23024801206484954</v>
      </c>
    </row>
    <row r="68" spans="1:14" ht="11.25" customHeight="1" outlineLevel="2">
      <c r="C68" s="248" t="s">
        <v>212</v>
      </c>
      <c r="D68" s="278">
        <v>2500</v>
      </c>
      <c r="E68" s="278">
        <v>1666.6666666666667</v>
      </c>
      <c r="F68" s="283">
        <v>491.75</v>
      </c>
      <c r="G68" s="360"/>
      <c r="H68" s="460"/>
      <c r="I68" s="460">
        <v>411.8</v>
      </c>
      <c r="J68" s="283">
        <f t="shared" si="0"/>
        <v>737.625</v>
      </c>
      <c r="K68" s="460"/>
      <c r="L68" s="461">
        <v>1000</v>
      </c>
      <c r="N68" s="458">
        <f t="shared" si="1"/>
        <v>-0.6</v>
      </c>
    </row>
    <row r="69" spans="1:14" ht="11.25" customHeight="1" outlineLevel="2">
      <c r="C69" s="248" t="s">
        <v>84</v>
      </c>
      <c r="D69" s="278">
        <v>2500</v>
      </c>
      <c r="E69" s="278">
        <v>1666.6666666666667</v>
      </c>
      <c r="F69" s="283">
        <v>0</v>
      </c>
      <c r="G69" s="360"/>
      <c r="H69" s="460"/>
      <c r="I69" s="460">
        <v>99</v>
      </c>
      <c r="J69" s="283">
        <f t="shared" si="0"/>
        <v>0</v>
      </c>
      <c r="K69" s="460"/>
      <c r="L69" s="461">
        <v>0</v>
      </c>
      <c r="N69" s="458">
        <f t="shared" si="1"/>
        <v>-1</v>
      </c>
    </row>
    <row r="70" spans="1:14" ht="11.25" customHeight="1" outlineLevel="2">
      <c r="C70" s="588" t="s">
        <v>85</v>
      </c>
      <c r="D70" s="278">
        <v>2000</v>
      </c>
      <c r="E70" s="278">
        <v>1333.3333333333333</v>
      </c>
      <c r="F70" s="283">
        <v>0</v>
      </c>
      <c r="G70" s="360"/>
      <c r="H70" s="460"/>
      <c r="I70" s="460">
        <v>1012.75</v>
      </c>
      <c r="J70" s="283">
        <f t="shared" si="0"/>
        <v>0</v>
      </c>
      <c r="K70" s="460"/>
      <c r="L70" s="461">
        <v>1200</v>
      </c>
      <c r="N70" s="458">
        <f t="shared" si="1"/>
        <v>-0.4</v>
      </c>
    </row>
    <row r="71" spans="1:14" ht="11.25" customHeight="1" outlineLevel="2">
      <c r="A71" s="271"/>
      <c r="B71" s="248"/>
      <c r="C71" s="248" t="s">
        <v>86</v>
      </c>
      <c r="D71" s="278">
        <v>0</v>
      </c>
      <c r="E71" s="278">
        <v>0</v>
      </c>
      <c r="F71" s="283">
        <v>225</v>
      </c>
      <c r="G71" s="355">
        <f>D71-E71</f>
        <v>0</v>
      </c>
      <c r="H71" s="460"/>
      <c r="I71" s="460">
        <v>0</v>
      </c>
      <c r="J71" s="283">
        <f t="shared" ref="J71:J78" si="2">F71/8*12</f>
        <v>337.5</v>
      </c>
      <c r="K71" s="460"/>
      <c r="L71" s="461">
        <v>400</v>
      </c>
      <c r="N71" s="458"/>
    </row>
    <row r="72" spans="1:14" s="319" customFormat="1" ht="11.25" customHeight="1" outlineLevel="2">
      <c r="A72" s="298"/>
      <c r="B72" s="303" t="s">
        <v>87</v>
      </c>
      <c r="C72" s="298"/>
      <c r="D72" s="296">
        <v>0</v>
      </c>
      <c r="E72" s="296">
        <v>0</v>
      </c>
      <c r="F72" s="296">
        <v>0</v>
      </c>
      <c r="G72" s="321"/>
      <c r="H72" s="298"/>
      <c r="I72" s="317">
        <v>0</v>
      </c>
      <c r="J72" s="304">
        <f t="shared" si="2"/>
        <v>0</v>
      </c>
      <c r="K72" s="298"/>
      <c r="L72" s="318">
        <v>0</v>
      </c>
      <c r="M72" s="298"/>
      <c r="N72" s="429"/>
    </row>
    <row r="73" spans="1:14" s="91" customFormat="1" ht="14.25" customHeight="1" outlineLevel="1">
      <c r="A73" s="271"/>
      <c r="B73" s="272"/>
      <c r="C73" s="248" t="s">
        <v>44</v>
      </c>
      <c r="D73" s="278">
        <v>0</v>
      </c>
      <c r="E73" s="278">
        <v>0</v>
      </c>
      <c r="F73" s="269">
        <v>0</v>
      </c>
      <c r="G73" s="270">
        <f>D73-E73</f>
        <v>0</v>
      </c>
      <c r="H73" s="248"/>
      <c r="I73" s="280">
        <v>0</v>
      </c>
      <c r="J73" s="281">
        <f t="shared" si="2"/>
        <v>0</v>
      </c>
      <c r="K73" s="272"/>
      <c r="L73" s="273"/>
      <c r="M73" s="272"/>
      <c r="N73" s="458"/>
    </row>
    <row r="74" spans="1:14" s="319" customFormat="1" ht="22.75" customHeight="1" outlineLevel="2">
      <c r="A74" s="298"/>
      <c r="B74" s="303" t="s">
        <v>88</v>
      </c>
      <c r="C74" s="295"/>
      <c r="D74" s="296">
        <v>24000</v>
      </c>
      <c r="E74" s="296">
        <v>16000</v>
      </c>
      <c r="F74" s="296">
        <v>16802</v>
      </c>
      <c r="G74" s="321"/>
      <c r="H74" s="298"/>
      <c r="I74" s="317">
        <v>11775.96</v>
      </c>
      <c r="J74" s="304">
        <f t="shared" si="2"/>
        <v>25203</v>
      </c>
      <c r="K74" s="298"/>
      <c r="L74" s="318">
        <f>L75</f>
        <v>25000</v>
      </c>
      <c r="M74" s="298"/>
      <c r="N74" s="429">
        <f t="shared" ref="N74:N75" si="3">(L74-D74)/D74</f>
        <v>4.1666666666666664E-2</v>
      </c>
    </row>
    <row r="75" spans="1:14" s="44" customFormat="1" ht="14.25" customHeight="1" outlineLevel="1">
      <c r="A75" s="249"/>
      <c r="B75" s="249"/>
      <c r="C75" s="248" t="s">
        <v>139</v>
      </c>
      <c r="D75" s="282">
        <v>24000</v>
      </c>
      <c r="E75" s="278">
        <v>16000</v>
      </c>
      <c r="F75" s="278">
        <v>16802</v>
      </c>
      <c r="G75" s="270">
        <f>D75-E75</f>
        <v>8000</v>
      </c>
      <c r="H75" s="248"/>
      <c r="I75" s="280">
        <v>11775.96</v>
      </c>
      <c r="J75" s="281">
        <f t="shared" si="2"/>
        <v>25203</v>
      </c>
      <c r="K75" s="249"/>
      <c r="L75" s="282">
        <v>25000</v>
      </c>
      <c r="M75" s="249"/>
      <c r="N75" s="458">
        <f t="shared" si="3"/>
        <v>4.1666666666666664E-2</v>
      </c>
    </row>
    <row r="76" spans="1:14" s="319" customFormat="1" ht="12" customHeight="1" outlineLevel="2">
      <c r="A76" s="298"/>
      <c r="B76" s="295" t="s">
        <v>121</v>
      </c>
      <c r="C76" s="295"/>
      <c r="D76" s="296">
        <v>0</v>
      </c>
      <c r="E76" s="296">
        <v>0</v>
      </c>
      <c r="F76" s="296">
        <v>7562.28</v>
      </c>
      <c r="G76" s="321"/>
      <c r="H76" s="298"/>
      <c r="I76" s="324">
        <v>5386.8</v>
      </c>
      <c r="J76" s="304">
        <f t="shared" si="2"/>
        <v>11343.42</v>
      </c>
      <c r="K76" s="298"/>
      <c r="L76" s="318">
        <v>0</v>
      </c>
      <c r="M76" s="298"/>
      <c r="N76" s="429"/>
    </row>
    <row r="77" spans="1:14" ht="12" customHeight="1" outlineLevel="2">
      <c r="C77" s="248" t="s">
        <v>122</v>
      </c>
      <c r="D77" s="278">
        <v>0</v>
      </c>
      <c r="E77" s="278">
        <v>0</v>
      </c>
      <c r="F77" s="278">
        <v>0</v>
      </c>
      <c r="G77" s="279"/>
      <c r="I77" s="280">
        <v>0</v>
      </c>
      <c r="J77" s="281">
        <f t="shared" si="2"/>
        <v>0</v>
      </c>
      <c r="K77" s="248"/>
      <c r="L77" s="282"/>
      <c r="N77" s="459"/>
    </row>
    <row r="78" spans="1:14" ht="12" customHeight="1">
      <c r="C78" s="248" t="s">
        <v>208</v>
      </c>
      <c r="D78" s="287">
        <v>0</v>
      </c>
      <c r="E78" s="287">
        <v>0</v>
      </c>
      <c r="F78" s="287">
        <v>7562.28</v>
      </c>
      <c r="G78" s="279"/>
      <c r="I78" s="280">
        <v>5386.8</v>
      </c>
      <c r="J78" s="288">
        <f t="shared" si="2"/>
        <v>11343.42</v>
      </c>
      <c r="K78" s="248"/>
      <c r="L78" s="289"/>
      <c r="N78" s="468"/>
    </row>
    <row r="79" spans="1:14">
      <c r="D79" s="290"/>
      <c r="E79" s="290"/>
      <c r="F79" s="290"/>
      <c r="I79" s="280"/>
      <c r="J79" s="291"/>
      <c r="K79" s="248"/>
      <c r="L79" s="248"/>
    </row>
    <row r="80" spans="1:14">
      <c r="D80" s="292"/>
      <c r="E80" s="290"/>
      <c r="F80" s="290"/>
      <c r="I80" s="280"/>
      <c r="J80" s="291"/>
      <c r="K80" s="248"/>
      <c r="L80" s="248"/>
    </row>
    <row r="81" spans="6:12">
      <c r="F81" s="290"/>
      <c r="K81" s="248"/>
      <c r="L81" s="248"/>
    </row>
    <row r="82" spans="6:12">
      <c r="K82" s="248"/>
      <c r="L82" s="248"/>
    </row>
  </sheetData>
  <mergeCells count="1">
    <mergeCell ref="A4:C4"/>
  </mergeCells>
  <printOptions horizontalCentered="1" verticalCentered="1" gridLinesSet="0"/>
  <pageMargins left="0.39370078740157483" right="0.27559055118110237" top="0.27559055118110237" bottom="0.11811023622047245" header="0.51181102362204722" footer="0"/>
  <pageSetup paperSize="9" scale="85" orientation="portrait" r:id="rId1"/>
  <headerFooter alignWithMargins="0">
    <oddFooter>&amp;L&amp;8DOC06.PG01_Orçamento LapiSul_2015&amp;C&amp;8Aprovado pelo Conselho Diretor &amp;R&amp;8 6/10/2014</oddFooter>
  </headerFooter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78"/>
  <sheetViews>
    <sheetView showGridLines="0" zoomScaleNormal="110" workbookViewId="0">
      <selection activeCell="S49" sqref="S49"/>
    </sheetView>
  </sheetViews>
  <sheetFormatPr baseColWidth="10" defaultColWidth="9" defaultRowHeight="18" outlineLevelRow="2"/>
  <cols>
    <col min="1" max="1" width="3.19921875" style="15" customWidth="1"/>
    <col min="2" max="2" width="3.19921875" style="3" customWidth="1"/>
    <col min="3" max="3" width="31.19921875" style="5" customWidth="1"/>
    <col min="4" max="4" width="13.796875" style="83" customWidth="1"/>
    <col min="5" max="5" width="10.59765625" style="83" customWidth="1"/>
    <col min="6" max="6" width="11.19921875" style="83" customWidth="1"/>
    <col min="7" max="7" width="12.59765625" style="83" customWidth="1"/>
    <col min="8" max="8" width="10" style="83" hidden="1" customWidth="1"/>
    <col min="9" max="9" width="10.19921875" style="83" hidden="1" customWidth="1"/>
    <col min="10" max="10" width="11.19921875" style="241" customWidth="1"/>
    <col min="11" max="11" width="4.19921875" style="87" customWidth="1"/>
    <col min="12" max="12" width="15" style="368" customWidth="1"/>
    <col min="13" max="13" width="4.19921875" customWidth="1"/>
    <col min="14" max="14" width="12.59765625" style="343" customWidth="1"/>
    <col min="15" max="15" width="11" style="351" customWidth="1"/>
    <col min="16" max="16" width="11" style="246" customWidth="1"/>
    <col min="17" max="17" width="4.796875" style="5" customWidth="1"/>
    <col min="18" max="18" width="9.796875" style="5" bestFit="1" customWidth="1"/>
    <col min="19" max="16384" width="9" style="5"/>
  </cols>
  <sheetData>
    <row r="1" spans="1:18">
      <c r="C1" s="18" t="s">
        <v>91</v>
      </c>
      <c r="L1" s="362"/>
      <c r="R1" s="246"/>
    </row>
    <row r="2" spans="1:18" s="3" customFormat="1" ht="24" customHeight="1">
      <c r="B2" s="66"/>
      <c r="C2" s="17" t="s">
        <v>92</v>
      </c>
      <c r="D2" s="85"/>
      <c r="E2" s="85"/>
      <c r="F2" s="85"/>
      <c r="G2" s="85"/>
      <c r="H2" s="336"/>
      <c r="I2" s="336"/>
      <c r="J2" s="241"/>
      <c r="K2" s="87"/>
      <c r="L2" s="363"/>
      <c r="N2" s="44"/>
      <c r="O2" s="352"/>
      <c r="P2" s="352"/>
      <c r="R2" s="246"/>
    </row>
    <row r="3" spans="1:18" s="3" customFormat="1" ht="24" customHeight="1">
      <c r="A3" s="239" t="s">
        <v>140</v>
      </c>
      <c r="B3" s="66"/>
      <c r="C3" s="17"/>
      <c r="D3" s="85"/>
      <c r="E3" s="85"/>
      <c r="F3" s="85"/>
      <c r="G3" s="85"/>
      <c r="H3" s="336"/>
      <c r="I3" s="336"/>
      <c r="J3" s="241"/>
      <c r="K3" s="87"/>
      <c r="L3" s="240"/>
      <c r="N3" s="44"/>
      <c r="O3" s="352"/>
      <c r="P3" s="352"/>
      <c r="R3" s="246"/>
    </row>
    <row r="4" spans="1:18" s="4" customFormat="1" ht="17.25" customHeight="1">
      <c r="A4" s="414" t="s">
        <v>237</v>
      </c>
      <c r="B4" s="44"/>
      <c r="C4" s="44"/>
      <c r="E4" s="350"/>
      <c r="F4" s="350"/>
      <c r="G4" s="350"/>
      <c r="H4" s="94"/>
      <c r="I4" s="94"/>
      <c r="J4" s="243"/>
      <c r="K4" s="87"/>
      <c r="L4" s="364"/>
      <c r="N4" s="44"/>
      <c r="O4" s="353"/>
      <c r="P4" s="353"/>
      <c r="R4" s="246"/>
    </row>
    <row r="5" spans="1:18" ht="34" customHeight="1">
      <c r="A5" s="26"/>
      <c r="B5" s="44"/>
      <c r="C5" s="26"/>
      <c r="D5" s="101">
        <v>2025</v>
      </c>
      <c r="E5" s="118" t="s">
        <v>141</v>
      </c>
      <c r="F5" s="118" t="s">
        <v>142</v>
      </c>
      <c r="G5" s="188">
        <v>45870</v>
      </c>
      <c r="H5" s="74" t="s">
        <v>141</v>
      </c>
      <c r="I5" s="346" t="s">
        <v>142</v>
      </c>
      <c r="J5" s="245" t="s">
        <v>232</v>
      </c>
      <c r="L5" s="365" t="s">
        <v>233</v>
      </c>
      <c r="N5" s="227">
        <v>2026</v>
      </c>
      <c r="O5" s="354" t="s">
        <v>141</v>
      </c>
      <c r="P5" s="354" t="s">
        <v>142</v>
      </c>
      <c r="R5" s="246" t="s">
        <v>235</v>
      </c>
    </row>
    <row r="6" spans="1:18" s="376" customFormat="1" ht="21" customHeight="1">
      <c r="A6" s="302" t="s">
        <v>15</v>
      </c>
      <c r="B6" s="302"/>
      <c r="C6" s="302"/>
      <c r="D6" s="369">
        <v>-55543.228800000041</v>
      </c>
      <c r="E6" s="370">
        <v>0.9</v>
      </c>
      <c r="F6" s="370">
        <v>0.1</v>
      </c>
      <c r="G6" s="371">
        <v>-37028.819199999969</v>
      </c>
      <c r="H6" s="372">
        <v>9567.6600000000326</v>
      </c>
      <c r="I6" s="373">
        <v>-37028.819199999969</v>
      </c>
      <c r="J6" s="369">
        <v>9567.6600000000326</v>
      </c>
      <c r="K6" s="374"/>
      <c r="L6" s="375">
        <f>L7-L22</f>
        <v>2265.6800000001094</v>
      </c>
      <c r="N6" s="377">
        <f>N7-N22</f>
        <v>-46092.91272100003</v>
      </c>
      <c r="O6" s="378">
        <v>0.8</v>
      </c>
      <c r="P6" s="378">
        <v>0.2</v>
      </c>
      <c r="R6" s="379">
        <f>(N6-D6)/D6</f>
        <v>-0.17014344112094548</v>
      </c>
    </row>
    <row r="7" spans="1:18" s="385" customFormat="1" ht="21" customHeight="1">
      <c r="A7" s="380" t="s">
        <v>6</v>
      </c>
      <c r="B7" s="380"/>
      <c r="C7" s="380"/>
      <c r="D7" s="369">
        <v>403154.03119999997</v>
      </c>
      <c r="E7" s="381"/>
      <c r="F7" s="381"/>
      <c r="G7" s="369">
        <v>268769.35413333337</v>
      </c>
      <c r="H7" s="382">
        <v>293404.72000000003</v>
      </c>
      <c r="I7" s="383">
        <v>268769.35413333337</v>
      </c>
      <c r="J7" s="369">
        <v>293404.72000000003</v>
      </c>
      <c r="K7" s="374"/>
      <c r="L7" s="384">
        <f>L8+L12+L15+L19</f>
        <v>428021.27</v>
      </c>
      <c r="N7" s="195">
        <f>N8+N12+N15+N19</f>
        <v>431984.78159999999</v>
      </c>
      <c r="O7" s="381"/>
      <c r="P7" s="381"/>
      <c r="R7" s="379">
        <f t="shared" ref="R7:R17" si="0">(N7-D7)/D7</f>
        <v>7.1512990491957709E-2</v>
      </c>
    </row>
    <row r="8" spans="1:18" s="392" customFormat="1" ht="12" customHeight="1" outlineLevel="1">
      <c r="A8" s="386"/>
      <c r="B8" s="387" t="s">
        <v>7</v>
      </c>
      <c r="C8" s="386"/>
      <c r="D8" s="388">
        <v>180223.008</v>
      </c>
      <c r="E8" s="389"/>
      <c r="F8" s="389"/>
      <c r="G8" s="388">
        <v>120148.67200000001</v>
      </c>
      <c r="H8" s="390">
        <v>129734.05</v>
      </c>
      <c r="I8" s="391">
        <v>120148.67200000001</v>
      </c>
      <c r="J8" s="388">
        <v>129734.05</v>
      </c>
      <c r="K8" s="374"/>
      <c r="L8" s="384">
        <f t="shared" ref="L8:L62" si="1">J8/8*12</f>
        <v>194601.07500000001</v>
      </c>
      <c r="N8" s="393">
        <f>SUM(N9:N11)</f>
        <v>214061.1825</v>
      </c>
      <c r="O8" s="389"/>
      <c r="P8" s="389"/>
      <c r="R8" s="379">
        <f t="shared" si="0"/>
        <v>0.1877572396305803</v>
      </c>
    </row>
    <row r="9" spans="1:18" s="11" customFormat="1" ht="18" customHeight="1" outlineLevel="2">
      <c r="A9" s="26"/>
      <c r="B9" s="44"/>
      <c r="C9" s="26" t="s">
        <v>97</v>
      </c>
      <c r="D9" s="339">
        <v>115960.60800000001</v>
      </c>
      <c r="E9" s="331">
        <f>D9</f>
        <v>115960.60800000001</v>
      </c>
      <c r="F9" s="331"/>
      <c r="G9" s="331">
        <v>77307.072</v>
      </c>
      <c r="H9" s="334">
        <v>87410</v>
      </c>
      <c r="I9" s="330">
        <v>77307.072</v>
      </c>
      <c r="J9" s="331">
        <v>87410</v>
      </c>
      <c r="K9" s="87"/>
      <c r="L9" s="366">
        <f t="shared" si="1"/>
        <v>131115</v>
      </c>
      <c r="N9" s="124">
        <f>L9*1.1</f>
        <v>144226.5</v>
      </c>
      <c r="O9" s="357">
        <f>N9</f>
        <v>144226.5</v>
      </c>
      <c r="P9" s="357"/>
      <c r="R9" s="345">
        <f t="shared" si="0"/>
        <v>0.24375425834262607</v>
      </c>
    </row>
    <row r="10" spans="1:18" s="11" customFormat="1" ht="18" customHeight="1" outlineLevel="2">
      <c r="A10" s="26"/>
      <c r="B10" s="44"/>
      <c r="C10" s="26" t="s">
        <v>144</v>
      </c>
      <c r="D10" s="339">
        <v>65262.400000000001</v>
      </c>
      <c r="E10" s="331"/>
      <c r="F10" s="331">
        <f>D10</f>
        <v>65262.400000000001</v>
      </c>
      <c r="G10" s="331">
        <v>43508.26666666667</v>
      </c>
      <c r="H10" s="334">
        <v>42324.05</v>
      </c>
      <c r="I10" s="330">
        <v>43508.26666666667</v>
      </c>
      <c r="J10" s="331">
        <v>42324.05</v>
      </c>
      <c r="K10" s="87"/>
      <c r="L10" s="366">
        <f t="shared" si="1"/>
        <v>63486.075000000004</v>
      </c>
      <c r="N10" s="124">
        <f>L10*1.1</f>
        <v>69834.68250000001</v>
      </c>
      <c r="O10" s="357"/>
      <c r="P10" s="357">
        <f>N10</f>
        <v>69834.68250000001</v>
      </c>
      <c r="R10" s="345">
        <f t="shared" si="0"/>
        <v>7.0059980938488448E-2</v>
      </c>
    </row>
    <row r="11" spans="1:18" s="11" customFormat="1" ht="18" customHeight="1" outlineLevel="2">
      <c r="A11" s="26"/>
      <c r="B11" s="44"/>
      <c r="C11" s="26" t="s">
        <v>225</v>
      </c>
      <c r="D11" s="339">
        <v>-1000</v>
      </c>
      <c r="E11" s="331"/>
      <c r="F11" s="331"/>
      <c r="G11" s="331">
        <v>-666.66666666666663</v>
      </c>
      <c r="H11" s="334">
        <v>0</v>
      </c>
      <c r="I11" s="330">
        <v>-666.66666666666663</v>
      </c>
      <c r="J11" s="331">
        <v>0</v>
      </c>
      <c r="K11" s="87"/>
      <c r="L11" s="366">
        <f t="shared" si="1"/>
        <v>0</v>
      </c>
      <c r="N11" s="124">
        <v>0</v>
      </c>
      <c r="O11" s="357"/>
      <c r="P11" s="357"/>
      <c r="R11" s="345">
        <f t="shared" si="0"/>
        <v>-1</v>
      </c>
    </row>
    <row r="12" spans="1:18" s="395" customFormat="1" ht="18" customHeight="1" outlineLevel="2">
      <c r="A12" s="386"/>
      <c r="B12" s="387" t="s">
        <v>8</v>
      </c>
      <c r="C12" s="394"/>
      <c r="D12" s="388">
        <v>185831.0232</v>
      </c>
      <c r="E12" s="389"/>
      <c r="F12" s="389"/>
      <c r="G12" s="388">
        <v>123887.34880000001</v>
      </c>
      <c r="H12" s="390">
        <v>121796.47</v>
      </c>
      <c r="I12" s="391">
        <v>123887.34880000001</v>
      </c>
      <c r="J12" s="388">
        <v>121796.47</v>
      </c>
      <c r="K12" s="374"/>
      <c r="L12" s="384">
        <f t="shared" si="1"/>
        <v>182694.70500000002</v>
      </c>
      <c r="N12" s="396">
        <f>N13+N14</f>
        <v>189923.59910000002</v>
      </c>
      <c r="O12" s="389"/>
      <c r="P12" s="389"/>
      <c r="R12" s="379">
        <f t="shared" si="0"/>
        <v>2.2023103729001185E-2</v>
      </c>
    </row>
    <row r="13" spans="1:18" s="11" customFormat="1" ht="11.25" customHeight="1" outlineLevel="2">
      <c r="A13" s="26"/>
      <c r="B13" s="44"/>
      <c r="C13" s="26" t="s">
        <v>145</v>
      </c>
      <c r="D13" s="339">
        <v>181967.78320000001</v>
      </c>
      <c r="E13" s="331"/>
      <c r="F13" s="331"/>
      <c r="G13" s="331">
        <v>121311.85546666668</v>
      </c>
      <c r="H13" s="334">
        <v>121796.47</v>
      </c>
      <c r="I13" s="330">
        <v>121311.85546666668</v>
      </c>
      <c r="J13" s="331">
        <v>121796.47</v>
      </c>
      <c r="K13" s="87"/>
      <c r="L13" s="366">
        <f t="shared" si="1"/>
        <v>182694.70500000002</v>
      </c>
      <c r="N13" s="124">
        <f>L13*1.02</f>
        <v>186348.59910000002</v>
      </c>
      <c r="O13" s="357"/>
      <c r="P13" s="357"/>
      <c r="R13" s="345">
        <f t="shared" si="0"/>
        <v>2.407467862146279E-2</v>
      </c>
    </row>
    <row r="14" spans="1:18" s="9" customFormat="1" ht="14.25" customHeight="1" outlineLevel="1">
      <c r="A14" s="26"/>
      <c r="B14" s="44"/>
      <c r="C14" s="26" t="s">
        <v>132</v>
      </c>
      <c r="D14" s="333">
        <v>3863.24</v>
      </c>
      <c r="E14" s="331"/>
      <c r="F14" s="331"/>
      <c r="G14" s="331">
        <v>2575.4933333333333</v>
      </c>
      <c r="H14" s="334">
        <v>0</v>
      </c>
      <c r="I14" s="330">
        <v>2575.4933333333333</v>
      </c>
      <c r="J14" s="331">
        <v>0</v>
      </c>
      <c r="K14" s="87"/>
      <c r="L14" s="366">
        <f t="shared" si="1"/>
        <v>0</v>
      </c>
      <c r="N14" s="134">
        <f>1605+1970</f>
        <v>3575</v>
      </c>
      <c r="O14" s="357"/>
      <c r="P14" s="357"/>
      <c r="R14" s="345">
        <f t="shared" si="0"/>
        <v>-7.4610948323169099E-2</v>
      </c>
    </row>
    <row r="15" spans="1:18" s="392" customFormat="1" ht="14.25" customHeight="1" outlineLevel="1">
      <c r="A15" s="386"/>
      <c r="B15" s="387" t="s">
        <v>121</v>
      </c>
      <c r="C15" s="394"/>
      <c r="D15" s="388">
        <v>37000</v>
      </c>
      <c r="E15" s="389"/>
      <c r="F15" s="389"/>
      <c r="G15" s="388">
        <v>24666.666666666668</v>
      </c>
      <c r="H15" s="390">
        <v>41871.75</v>
      </c>
      <c r="I15" s="391">
        <v>24666.666666666668</v>
      </c>
      <c r="J15" s="388">
        <v>41871.75</v>
      </c>
      <c r="K15" s="302"/>
      <c r="L15" s="384">
        <f>SUM(L16:L18)</f>
        <v>50721.815000000002</v>
      </c>
      <c r="N15" s="393">
        <f>SUM(N16:N18)</f>
        <v>28000</v>
      </c>
      <c r="O15" s="389"/>
      <c r="P15" s="389"/>
      <c r="R15" s="379">
        <f t="shared" si="0"/>
        <v>-0.24324324324324326</v>
      </c>
    </row>
    <row r="16" spans="1:18" s="73" customFormat="1" ht="13" outlineLevel="1">
      <c r="A16" s="71"/>
      <c r="B16" s="70"/>
      <c r="C16" s="26" t="s">
        <v>134</v>
      </c>
      <c r="D16" s="333">
        <v>20000</v>
      </c>
      <c r="E16" s="333"/>
      <c r="F16" s="333"/>
      <c r="G16" s="347">
        <v>13333.333333333334</v>
      </c>
      <c r="H16" s="338">
        <v>25390.54</v>
      </c>
      <c r="I16" s="332">
        <v>13333.333333333334</v>
      </c>
      <c r="J16" s="331">
        <v>25390.54</v>
      </c>
      <c r="K16" s="87"/>
      <c r="L16" s="366">
        <f>26000</f>
        <v>26000</v>
      </c>
      <c r="N16" s="72">
        <v>15000</v>
      </c>
      <c r="O16" s="358"/>
      <c r="P16" s="358"/>
      <c r="R16" s="345">
        <f t="shared" si="0"/>
        <v>-0.25</v>
      </c>
    </row>
    <row r="17" spans="1:18" s="11" customFormat="1" ht="12" outlineLevel="2">
      <c r="A17" s="71"/>
      <c r="B17" s="70"/>
      <c r="C17" s="26" t="s">
        <v>133</v>
      </c>
      <c r="D17" s="339">
        <v>17000</v>
      </c>
      <c r="E17" s="333"/>
      <c r="F17" s="333"/>
      <c r="G17" s="347">
        <v>11333.333333333334</v>
      </c>
      <c r="H17" s="338">
        <v>7406.54</v>
      </c>
      <c r="I17" s="332">
        <v>11333.333333333334</v>
      </c>
      <c r="J17" s="331">
        <v>7406.54</v>
      </c>
      <c r="K17" s="87"/>
      <c r="L17" s="366">
        <f t="shared" si="1"/>
        <v>11109.81</v>
      </c>
      <c r="N17" s="124">
        <v>13000</v>
      </c>
      <c r="O17" s="358"/>
      <c r="P17" s="358"/>
      <c r="R17" s="345">
        <f t="shared" si="0"/>
        <v>-0.23529411764705882</v>
      </c>
    </row>
    <row r="18" spans="1:18" s="9" customFormat="1" ht="13" outlineLevel="1">
      <c r="A18" s="26"/>
      <c r="B18" s="44"/>
      <c r="C18" s="26" t="s">
        <v>146</v>
      </c>
      <c r="D18" s="339">
        <v>0</v>
      </c>
      <c r="E18" s="331"/>
      <c r="F18" s="331"/>
      <c r="G18" s="347">
        <v>0</v>
      </c>
      <c r="H18" s="334">
        <v>9074.67</v>
      </c>
      <c r="I18" s="330">
        <v>0</v>
      </c>
      <c r="J18" s="331">
        <v>9074.67</v>
      </c>
      <c r="K18" s="87"/>
      <c r="L18" s="366">
        <f t="shared" si="1"/>
        <v>13612.005000000001</v>
      </c>
      <c r="N18" s="134"/>
      <c r="O18" s="357"/>
      <c r="P18" s="357"/>
      <c r="R18" s="344"/>
    </row>
    <row r="19" spans="1:18" s="395" customFormat="1" ht="11.25" customHeight="1" outlineLevel="2">
      <c r="A19" s="386"/>
      <c r="B19" s="387" t="s">
        <v>48</v>
      </c>
      <c r="C19" s="394"/>
      <c r="D19" s="388">
        <v>100</v>
      </c>
      <c r="E19" s="389"/>
      <c r="F19" s="389"/>
      <c r="G19" s="388">
        <v>66.666666666666671</v>
      </c>
      <c r="H19" s="390">
        <v>2.4500000000000002</v>
      </c>
      <c r="I19" s="391">
        <v>66.666666666666671</v>
      </c>
      <c r="J19" s="388">
        <v>2.4500000000000002</v>
      </c>
      <c r="K19" s="374"/>
      <c r="L19" s="384">
        <f t="shared" si="1"/>
        <v>3.6750000000000003</v>
      </c>
      <c r="N19" s="396">
        <v>0</v>
      </c>
      <c r="O19" s="389"/>
      <c r="P19" s="389"/>
      <c r="R19" s="379">
        <f>(N19-D19)/D19</f>
        <v>-1</v>
      </c>
    </row>
    <row r="20" spans="1:18" s="11" customFormat="1" ht="11.25" customHeight="1" outlineLevel="2">
      <c r="A20" s="26"/>
      <c r="B20" s="44"/>
      <c r="C20" s="26" t="s">
        <v>135</v>
      </c>
      <c r="D20" s="340">
        <v>0</v>
      </c>
      <c r="E20" s="331"/>
      <c r="F20" s="331"/>
      <c r="G20" s="331">
        <v>0</v>
      </c>
      <c r="H20" s="334">
        <v>0</v>
      </c>
      <c r="I20" s="330">
        <v>0</v>
      </c>
      <c r="J20" s="331">
        <v>0</v>
      </c>
      <c r="K20" s="87"/>
      <c r="L20" s="366">
        <f t="shared" si="1"/>
        <v>0</v>
      </c>
      <c r="N20" s="124"/>
      <c r="O20" s="357"/>
      <c r="P20" s="357"/>
      <c r="R20" s="344"/>
    </row>
    <row r="21" spans="1:18" s="12" customFormat="1" ht="13.5" customHeight="1">
      <c r="A21" s="26"/>
      <c r="B21" s="44"/>
      <c r="C21" s="26" t="s">
        <v>147</v>
      </c>
      <c r="D21" s="331">
        <v>100</v>
      </c>
      <c r="E21" s="331"/>
      <c r="F21" s="331"/>
      <c r="G21" s="331">
        <v>66.666666666666671</v>
      </c>
      <c r="H21" s="335">
        <v>2.4500000000000002</v>
      </c>
      <c r="I21" s="334">
        <v>66.666666666666671</v>
      </c>
      <c r="J21" s="331">
        <v>2.4500000000000002</v>
      </c>
      <c r="K21" s="87"/>
      <c r="L21" s="366">
        <f t="shared" si="1"/>
        <v>3.6750000000000003</v>
      </c>
      <c r="N21" s="232"/>
      <c r="O21" s="357"/>
      <c r="P21" s="357"/>
      <c r="R21" s="345">
        <f t="shared" ref="R21:R27" si="2">(N21-D21)/D21</f>
        <v>-1</v>
      </c>
    </row>
    <row r="22" spans="1:18" s="399" customFormat="1" ht="14.25" customHeight="1" outlineLevel="1">
      <c r="A22" s="302" t="s">
        <v>10</v>
      </c>
      <c r="B22" s="302"/>
      <c r="C22" s="302"/>
      <c r="D22" s="369">
        <v>458697.26</v>
      </c>
      <c r="E22" s="369">
        <f>E23+E27+E49+E60+E62</f>
        <v>410532.53399999999</v>
      </c>
      <c r="F22" s="369">
        <f>F23+F27+F49+F60+F62</f>
        <v>45614.726000000002</v>
      </c>
      <c r="G22" s="369">
        <v>305798.17333333334</v>
      </c>
      <c r="H22" s="397">
        <v>283837.06</v>
      </c>
      <c r="I22" s="398">
        <v>305798.17333333334</v>
      </c>
      <c r="J22" s="369">
        <v>283837.06</v>
      </c>
      <c r="K22" s="374"/>
      <c r="L22" s="384">
        <f>L23+L27+L49+L60+L62</f>
        <v>425755.58999999991</v>
      </c>
      <c r="N22" s="400">
        <f>N23+N27+N49+N58+N60+N62</f>
        <v>478077.69432100002</v>
      </c>
      <c r="O22" s="369">
        <f>N22*80%</f>
        <v>382462.15545680001</v>
      </c>
      <c r="P22" s="369">
        <f>N22*20%</f>
        <v>95615.538864200003</v>
      </c>
      <c r="R22" s="379">
        <f t="shared" si="2"/>
        <v>4.2251035728881413E-2</v>
      </c>
    </row>
    <row r="23" spans="1:18" s="395" customFormat="1" ht="11.25" customHeight="1" outlineLevel="2">
      <c r="A23" s="401"/>
      <c r="B23" s="401" t="s">
        <v>11</v>
      </c>
      <c r="C23" s="394"/>
      <c r="D23" s="388">
        <v>77550</v>
      </c>
      <c r="E23" s="389">
        <f t="shared" ref="E23:F23" si="3">SUM(E24:E26)</f>
        <v>69300</v>
      </c>
      <c r="F23" s="389">
        <f t="shared" si="3"/>
        <v>7700</v>
      </c>
      <c r="G23" s="388">
        <v>51700</v>
      </c>
      <c r="H23" s="402">
        <v>61463.75</v>
      </c>
      <c r="I23" s="390">
        <v>51700</v>
      </c>
      <c r="J23" s="388">
        <v>61463.75</v>
      </c>
      <c r="K23" s="374"/>
      <c r="L23" s="384">
        <f t="shared" si="1"/>
        <v>92195.625</v>
      </c>
      <c r="N23" s="396">
        <f>SUM(N24:N26)</f>
        <v>87000</v>
      </c>
      <c r="O23" s="369">
        <f t="shared" ref="O23:O65" si="4">N23*80%</f>
        <v>69600</v>
      </c>
      <c r="P23" s="369">
        <f t="shared" ref="P23:P65" si="5">N23*20%</f>
        <v>17400</v>
      </c>
      <c r="R23" s="379">
        <f t="shared" si="2"/>
        <v>0.1218568665377176</v>
      </c>
    </row>
    <row r="24" spans="1:18" s="11" customFormat="1" ht="11.25" customHeight="1" outlineLevel="2">
      <c r="A24" s="26"/>
      <c r="B24" s="44"/>
      <c r="C24" s="26" t="s">
        <v>51</v>
      </c>
      <c r="D24" s="339">
        <v>73500</v>
      </c>
      <c r="E24" s="331">
        <f>D24*90%</f>
        <v>66150</v>
      </c>
      <c r="F24" s="331">
        <f>D24*10%</f>
        <v>7350</v>
      </c>
      <c r="G24" s="331">
        <v>49000</v>
      </c>
      <c r="H24" s="335">
        <v>58554.28</v>
      </c>
      <c r="I24" s="334">
        <v>49000</v>
      </c>
      <c r="J24" s="331">
        <v>58554.28</v>
      </c>
      <c r="K24" s="87"/>
      <c r="L24" s="366">
        <f t="shared" si="1"/>
        <v>87831.42</v>
      </c>
      <c r="N24" s="124">
        <v>83000</v>
      </c>
      <c r="O24" s="283">
        <f t="shared" si="4"/>
        <v>66400</v>
      </c>
      <c r="P24" s="283">
        <f t="shared" si="5"/>
        <v>16600</v>
      </c>
      <c r="R24" s="345">
        <f t="shared" si="2"/>
        <v>0.12925170068027211</v>
      </c>
    </row>
    <row r="25" spans="1:18" s="11" customFormat="1" ht="11.25" customHeight="1" outlineLevel="2">
      <c r="A25" s="26"/>
      <c r="B25" s="44"/>
      <c r="C25" s="26" t="s">
        <v>148</v>
      </c>
      <c r="D25" s="339">
        <v>550</v>
      </c>
      <c r="E25" s="331"/>
      <c r="F25" s="331"/>
      <c r="G25" s="331">
        <v>366.66666666666669</v>
      </c>
      <c r="H25" s="335">
        <v>77.81</v>
      </c>
      <c r="I25" s="334">
        <v>366.66666666666669</v>
      </c>
      <c r="J25" s="331">
        <v>77.81</v>
      </c>
      <c r="K25" s="87"/>
      <c r="L25" s="366">
        <f t="shared" si="1"/>
        <v>116.715</v>
      </c>
      <c r="N25" s="124">
        <v>0</v>
      </c>
      <c r="O25" s="283">
        <f t="shared" si="4"/>
        <v>0</v>
      </c>
      <c r="P25" s="283">
        <f t="shared" si="5"/>
        <v>0</v>
      </c>
      <c r="R25" s="345">
        <f t="shared" si="2"/>
        <v>-1</v>
      </c>
    </row>
    <row r="26" spans="1:18" s="9" customFormat="1" ht="14.25" customHeight="1" outlineLevel="1">
      <c r="A26" s="26"/>
      <c r="B26" s="44"/>
      <c r="C26" s="26" t="s">
        <v>149</v>
      </c>
      <c r="D26" s="333">
        <v>3500</v>
      </c>
      <c r="E26" s="331">
        <f>D26*90%</f>
        <v>3150</v>
      </c>
      <c r="F26" s="331">
        <f>D26*10%</f>
        <v>350</v>
      </c>
      <c r="G26" s="331">
        <v>2333.3333333333335</v>
      </c>
      <c r="H26" s="335">
        <v>2831.66</v>
      </c>
      <c r="I26" s="334">
        <v>2333.3333333333335</v>
      </c>
      <c r="J26" s="331">
        <v>2831.66</v>
      </c>
      <c r="K26" s="87"/>
      <c r="L26" s="366">
        <f t="shared" si="1"/>
        <v>4247.49</v>
      </c>
      <c r="N26" s="134">
        <v>4000</v>
      </c>
      <c r="O26" s="283">
        <f t="shared" si="4"/>
        <v>3200</v>
      </c>
      <c r="P26" s="283">
        <f t="shared" si="5"/>
        <v>800</v>
      </c>
      <c r="R26" s="345">
        <f t="shared" si="2"/>
        <v>0.14285714285714285</v>
      </c>
    </row>
    <row r="27" spans="1:18" s="395" customFormat="1" ht="11.25" customHeight="1" outlineLevel="2">
      <c r="A27" s="386"/>
      <c r="B27" s="401" t="s">
        <v>12</v>
      </c>
      <c r="C27" s="394"/>
      <c r="D27" s="403">
        <v>32850</v>
      </c>
      <c r="E27" s="388">
        <f>SUM(E28:E48)</f>
        <v>27765</v>
      </c>
      <c r="F27" s="388">
        <f>SUM(F28:F48)</f>
        <v>3085</v>
      </c>
      <c r="G27" s="388">
        <v>21900</v>
      </c>
      <c r="H27" s="402">
        <v>31933.79</v>
      </c>
      <c r="I27" s="390">
        <v>21900</v>
      </c>
      <c r="J27" s="388">
        <v>31933.79</v>
      </c>
      <c r="K27" s="374"/>
      <c r="L27" s="384">
        <f t="shared" si="1"/>
        <v>47900.684999999998</v>
      </c>
      <c r="N27" s="396">
        <f>SUM(N28:N48)</f>
        <v>42430</v>
      </c>
      <c r="O27" s="369">
        <f t="shared" si="4"/>
        <v>33944</v>
      </c>
      <c r="P27" s="369">
        <f t="shared" si="5"/>
        <v>8486</v>
      </c>
      <c r="R27" s="379">
        <f t="shared" si="2"/>
        <v>0.29162861491628617</v>
      </c>
    </row>
    <row r="28" spans="1:18" s="11" customFormat="1" ht="11.25" customHeight="1" outlineLevel="2">
      <c r="A28" s="26"/>
      <c r="B28" s="44"/>
      <c r="C28" s="26" t="s">
        <v>109</v>
      </c>
      <c r="D28" s="339">
        <v>0</v>
      </c>
      <c r="E28" s="331">
        <f>D28*90%</f>
        <v>0</v>
      </c>
      <c r="F28" s="331">
        <f>D28*10%</f>
        <v>0</v>
      </c>
      <c r="G28" s="331">
        <v>0</v>
      </c>
      <c r="H28" s="335">
        <v>0</v>
      </c>
      <c r="I28" s="334">
        <v>0</v>
      </c>
      <c r="J28" s="331">
        <v>0</v>
      </c>
      <c r="K28" s="87"/>
      <c r="L28" s="366">
        <f t="shared" si="1"/>
        <v>0</v>
      </c>
      <c r="N28" s="124"/>
      <c r="O28" s="283">
        <f t="shared" si="4"/>
        <v>0</v>
      </c>
      <c r="P28" s="283">
        <f t="shared" si="5"/>
        <v>0</v>
      </c>
      <c r="R28" s="344"/>
    </row>
    <row r="29" spans="1:18" s="11" customFormat="1" ht="11.25" customHeight="1" outlineLevel="2">
      <c r="A29" s="26"/>
      <c r="B29" s="44"/>
      <c r="C29" s="26" t="s">
        <v>112</v>
      </c>
      <c r="D29" s="339">
        <v>500</v>
      </c>
      <c r="E29" s="331">
        <f>D29*90%</f>
        <v>450</v>
      </c>
      <c r="F29" s="331">
        <f>D29*10%</f>
        <v>50</v>
      </c>
      <c r="G29" s="331">
        <v>333.33333333333331</v>
      </c>
      <c r="H29" s="335">
        <v>0</v>
      </c>
      <c r="I29" s="334">
        <v>333.33333333333331</v>
      </c>
      <c r="J29" s="331">
        <v>0</v>
      </c>
      <c r="K29" s="87"/>
      <c r="L29" s="366">
        <f t="shared" si="1"/>
        <v>0</v>
      </c>
      <c r="N29" s="124"/>
      <c r="O29" s="283">
        <f t="shared" si="4"/>
        <v>0</v>
      </c>
      <c r="P29" s="283">
        <f t="shared" si="5"/>
        <v>0</v>
      </c>
      <c r="R29" s="345">
        <f>(N29-D29)/D29</f>
        <v>-1</v>
      </c>
    </row>
    <row r="30" spans="1:18" s="11" customFormat="1" ht="11.25" customHeight="1" outlineLevel="2">
      <c r="A30" s="26"/>
      <c r="B30" s="44"/>
      <c r="C30" s="26" t="s">
        <v>150</v>
      </c>
      <c r="D30" s="339"/>
      <c r="E30" s="331"/>
      <c r="F30" s="331"/>
      <c r="G30" s="331">
        <v>0</v>
      </c>
      <c r="H30" s="335">
        <v>0</v>
      </c>
      <c r="I30" s="334">
        <v>0</v>
      </c>
      <c r="J30" s="331">
        <v>0</v>
      </c>
      <c r="K30" s="87"/>
      <c r="L30" s="366">
        <f t="shared" si="1"/>
        <v>0</v>
      </c>
      <c r="N30" s="124"/>
      <c r="O30" s="283">
        <f t="shared" si="4"/>
        <v>0</v>
      </c>
      <c r="P30" s="283">
        <f t="shared" si="5"/>
        <v>0</v>
      </c>
      <c r="R30" s="345"/>
    </row>
    <row r="31" spans="1:18" s="11" customFormat="1" ht="11.25" customHeight="1" outlineLevel="2">
      <c r="A31" s="26"/>
      <c r="B31" s="44"/>
      <c r="C31" s="26" t="s">
        <v>58</v>
      </c>
      <c r="D31" s="339">
        <v>0</v>
      </c>
      <c r="E31" s="331">
        <f>D31*90%</f>
        <v>0</v>
      </c>
      <c r="F31" s="331">
        <f>D31*10%</f>
        <v>0</v>
      </c>
      <c r="G31" s="331">
        <v>0</v>
      </c>
      <c r="H31" s="335">
        <v>325</v>
      </c>
      <c r="I31" s="334">
        <v>0</v>
      </c>
      <c r="J31" s="331">
        <v>325</v>
      </c>
      <c r="K31" s="87"/>
      <c r="L31" s="366">
        <f t="shared" si="1"/>
        <v>487.5</v>
      </c>
      <c r="N31" s="422">
        <v>450</v>
      </c>
      <c r="O31" s="283">
        <f t="shared" si="4"/>
        <v>360</v>
      </c>
      <c r="P31" s="283">
        <f t="shared" si="5"/>
        <v>90</v>
      </c>
      <c r="R31" s="345"/>
    </row>
    <row r="32" spans="1:18" s="11" customFormat="1" ht="11.25" customHeight="1" outlineLevel="2">
      <c r="A32" s="26"/>
      <c r="B32" s="44"/>
      <c r="C32" s="26" t="s">
        <v>111</v>
      </c>
      <c r="D32" s="339">
        <v>8000</v>
      </c>
      <c r="E32" s="331">
        <f>D32*90%</f>
        <v>7200</v>
      </c>
      <c r="F32" s="331">
        <f>D32*10%</f>
        <v>800</v>
      </c>
      <c r="G32" s="331">
        <v>5333.333333333333</v>
      </c>
      <c r="H32" s="334">
        <v>8675.2800000000007</v>
      </c>
      <c r="I32" s="330">
        <v>5333.333333333333</v>
      </c>
      <c r="J32" s="331">
        <v>8675.2800000000007</v>
      </c>
      <c r="K32" s="87"/>
      <c r="L32" s="366">
        <f t="shared" si="1"/>
        <v>13012.920000000002</v>
      </c>
      <c r="N32" s="124">
        <v>9000</v>
      </c>
      <c r="O32" s="283">
        <f t="shared" si="4"/>
        <v>7200</v>
      </c>
      <c r="P32" s="283">
        <f t="shared" si="5"/>
        <v>1800</v>
      </c>
      <c r="R32" s="345">
        <f>(N32-D32)/D32</f>
        <v>0.125</v>
      </c>
    </row>
    <row r="33" spans="1:18" s="11" customFormat="1" ht="11.25" customHeight="1" outlineLevel="2">
      <c r="A33" s="26"/>
      <c r="B33" s="44"/>
      <c r="C33" s="26" t="s">
        <v>151</v>
      </c>
      <c r="D33" s="339">
        <v>0</v>
      </c>
      <c r="E33" s="331"/>
      <c r="F33" s="331"/>
      <c r="G33" s="331">
        <v>0</v>
      </c>
      <c r="H33" s="334">
        <v>0</v>
      </c>
      <c r="I33" s="330">
        <v>0</v>
      </c>
      <c r="J33" s="331">
        <v>0</v>
      </c>
      <c r="K33" s="87"/>
      <c r="L33" s="366">
        <f t="shared" si="1"/>
        <v>0</v>
      </c>
      <c r="N33" s="124"/>
      <c r="O33" s="283">
        <f t="shared" si="4"/>
        <v>0</v>
      </c>
      <c r="P33" s="283">
        <f t="shared" si="5"/>
        <v>0</v>
      </c>
      <c r="R33" s="345"/>
    </row>
    <row r="34" spans="1:18" s="11" customFormat="1" ht="11.25" customHeight="1" outlineLevel="2">
      <c r="A34" s="26"/>
      <c r="B34" s="44"/>
      <c r="C34" s="26" t="s">
        <v>61</v>
      </c>
      <c r="D34" s="339"/>
      <c r="E34" s="331"/>
      <c r="F34" s="331"/>
      <c r="G34" s="331">
        <v>0</v>
      </c>
      <c r="H34" s="334">
        <v>0</v>
      </c>
      <c r="I34" s="330">
        <v>0</v>
      </c>
      <c r="J34" s="331">
        <v>0</v>
      </c>
      <c r="K34" s="87"/>
      <c r="L34" s="366">
        <f t="shared" si="1"/>
        <v>0</v>
      </c>
      <c r="N34" s="124"/>
      <c r="O34" s="283">
        <f t="shared" si="4"/>
        <v>0</v>
      </c>
      <c r="P34" s="283">
        <f t="shared" si="5"/>
        <v>0</v>
      </c>
      <c r="R34" s="345"/>
    </row>
    <row r="35" spans="1:18" s="11" customFormat="1" ht="11.25" customHeight="1" outlineLevel="2">
      <c r="A35" s="26"/>
      <c r="B35" s="44"/>
      <c r="C35" s="26" t="s">
        <v>152</v>
      </c>
      <c r="D35" s="339">
        <v>750</v>
      </c>
      <c r="E35" s="331">
        <f>D35*90%</f>
        <v>675</v>
      </c>
      <c r="F35" s="331">
        <f>D35*10%</f>
        <v>75</v>
      </c>
      <c r="G35" s="331">
        <v>500</v>
      </c>
      <c r="H35" s="334">
        <v>1466.52</v>
      </c>
      <c r="I35" s="330">
        <v>500</v>
      </c>
      <c r="J35" s="331">
        <v>1466.52</v>
      </c>
      <c r="K35" s="87"/>
      <c r="L35" s="366">
        <f t="shared" si="1"/>
        <v>2199.7799999999997</v>
      </c>
      <c r="N35" s="124">
        <v>1200</v>
      </c>
      <c r="O35" s="283">
        <f t="shared" si="4"/>
        <v>960</v>
      </c>
      <c r="P35" s="283">
        <f t="shared" si="5"/>
        <v>240</v>
      </c>
      <c r="R35" s="345">
        <f>(N35-D35)/D35</f>
        <v>0.6</v>
      </c>
    </row>
    <row r="36" spans="1:18" s="11" customFormat="1" ht="11.25" customHeight="1" outlineLevel="2">
      <c r="A36" s="26"/>
      <c r="B36" s="44"/>
      <c r="C36" s="26" t="s">
        <v>107</v>
      </c>
      <c r="D36" s="339"/>
      <c r="E36" s="331"/>
      <c r="F36" s="331"/>
      <c r="G36" s="331">
        <v>0</v>
      </c>
      <c r="H36" s="334">
        <v>0</v>
      </c>
      <c r="I36" s="330">
        <v>0</v>
      </c>
      <c r="J36" s="331">
        <v>0</v>
      </c>
      <c r="K36" s="87"/>
      <c r="L36" s="366">
        <f t="shared" si="1"/>
        <v>0</v>
      </c>
      <c r="N36" s="124"/>
      <c r="O36" s="283">
        <f t="shared" si="4"/>
        <v>0</v>
      </c>
      <c r="P36" s="283">
        <f t="shared" si="5"/>
        <v>0</v>
      </c>
      <c r="R36" s="345"/>
    </row>
    <row r="37" spans="1:18" s="11" customFormat="1" ht="11.25" customHeight="1" outlineLevel="2">
      <c r="A37" s="26"/>
      <c r="B37" s="44"/>
      <c r="C37" s="26" t="s">
        <v>153</v>
      </c>
      <c r="D37" s="339">
        <v>200</v>
      </c>
      <c r="E37" s="331">
        <f>D37*90%</f>
        <v>180</v>
      </c>
      <c r="F37" s="331">
        <f>D37*10%</f>
        <v>20</v>
      </c>
      <c r="G37" s="331">
        <v>133.33333333333334</v>
      </c>
      <c r="H37" s="334">
        <v>0</v>
      </c>
      <c r="I37" s="330">
        <v>133.33333333333334</v>
      </c>
      <c r="J37" s="331">
        <v>0</v>
      </c>
      <c r="K37" s="87"/>
      <c r="L37" s="366">
        <f t="shared" si="1"/>
        <v>0</v>
      </c>
      <c r="N37" s="124">
        <v>50</v>
      </c>
      <c r="O37" s="283">
        <f t="shared" si="4"/>
        <v>40</v>
      </c>
      <c r="P37" s="283">
        <f t="shared" si="5"/>
        <v>10</v>
      </c>
      <c r="R37" s="345">
        <f t="shared" ref="R37:R43" si="6">(N37-D37)/D37</f>
        <v>-0.75</v>
      </c>
    </row>
    <row r="38" spans="1:18" s="11" customFormat="1" ht="11.25" customHeight="1" outlineLevel="2">
      <c r="A38" s="26"/>
      <c r="B38" s="44"/>
      <c r="C38" s="26" t="s">
        <v>65</v>
      </c>
      <c r="D38" s="339">
        <v>100</v>
      </c>
      <c r="E38" s="331">
        <f t="shared" ref="E38:E45" si="7">D38*90%</f>
        <v>90</v>
      </c>
      <c r="F38" s="331">
        <f t="shared" ref="F38:F45" si="8">D38*10%</f>
        <v>10</v>
      </c>
      <c r="G38" s="331">
        <v>66.666666666666671</v>
      </c>
      <c r="H38" s="334">
        <v>170.76</v>
      </c>
      <c r="I38" s="330">
        <v>66.666666666666671</v>
      </c>
      <c r="J38" s="331">
        <v>170.76</v>
      </c>
      <c r="K38" s="87"/>
      <c r="L38" s="366">
        <f t="shared" si="1"/>
        <v>256.14</v>
      </c>
      <c r="N38" s="124">
        <v>300</v>
      </c>
      <c r="O38" s="283">
        <f t="shared" si="4"/>
        <v>240</v>
      </c>
      <c r="P38" s="283">
        <f t="shared" si="5"/>
        <v>60</v>
      </c>
      <c r="R38" s="345">
        <f t="shared" si="6"/>
        <v>2</v>
      </c>
    </row>
    <row r="39" spans="1:18" s="11" customFormat="1" ht="11.25" customHeight="1" outlineLevel="2">
      <c r="A39" s="26"/>
      <c r="B39" s="44"/>
      <c r="C39" s="26" t="s">
        <v>66</v>
      </c>
      <c r="D39" s="339">
        <v>6000</v>
      </c>
      <c r="E39" s="331">
        <f t="shared" si="7"/>
        <v>5400</v>
      </c>
      <c r="F39" s="331">
        <f t="shared" si="8"/>
        <v>600</v>
      </c>
      <c r="G39" s="331">
        <v>4000</v>
      </c>
      <c r="H39" s="334">
        <v>5330.6</v>
      </c>
      <c r="I39" s="330">
        <v>4000</v>
      </c>
      <c r="J39" s="331">
        <v>5330.6</v>
      </c>
      <c r="K39" s="87"/>
      <c r="L39" s="366">
        <f t="shared" si="1"/>
        <v>7995.9000000000005</v>
      </c>
      <c r="N39" s="124">
        <v>7500</v>
      </c>
      <c r="O39" s="283">
        <f t="shared" si="4"/>
        <v>6000</v>
      </c>
      <c r="P39" s="283">
        <f t="shared" si="5"/>
        <v>1500</v>
      </c>
      <c r="R39" s="345">
        <f t="shared" si="6"/>
        <v>0.25</v>
      </c>
    </row>
    <row r="40" spans="1:18" s="11" customFormat="1" ht="11.25" customHeight="1" outlineLevel="2">
      <c r="A40" s="26"/>
      <c r="B40" s="44"/>
      <c r="C40" s="26" t="s">
        <v>67</v>
      </c>
      <c r="D40" s="339">
        <v>8000</v>
      </c>
      <c r="E40" s="331">
        <f t="shared" si="7"/>
        <v>7200</v>
      </c>
      <c r="F40" s="331">
        <f t="shared" si="8"/>
        <v>800</v>
      </c>
      <c r="G40" s="331">
        <v>5333.333333333333</v>
      </c>
      <c r="H40" s="334">
        <v>4400.2299999999996</v>
      </c>
      <c r="I40" s="330">
        <v>5333.333333333333</v>
      </c>
      <c r="J40" s="331">
        <v>4400.2299999999996</v>
      </c>
      <c r="K40" s="87"/>
      <c r="L40" s="366">
        <f t="shared" si="1"/>
        <v>6600.3449999999993</v>
      </c>
      <c r="N40" s="124">
        <v>6800</v>
      </c>
      <c r="O40" s="283">
        <f t="shared" si="4"/>
        <v>5440</v>
      </c>
      <c r="P40" s="283">
        <f t="shared" si="5"/>
        <v>1360</v>
      </c>
      <c r="R40" s="345">
        <f t="shared" si="6"/>
        <v>-0.15</v>
      </c>
    </row>
    <row r="41" spans="1:18" s="11" customFormat="1" ht="11.25" customHeight="1" outlineLevel="2">
      <c r="A41" s="26"/>
      <c r="B41" s="44"/>
      <c r="C41" s="26" t="s">
        <v>68</v>
      </c>
      <c r="D41" s="339">
        <v>4000</v>
      </c>
      <c r="E41" s="331">
        <f t="shared" si="7"/>
        <v>3600</v>
      </c>
      <c r="F41" s="331">
        <f t="shared" si="8"/>
        <v>400</v>
      </c>
      <c r="G41" s="331">
        <v>2666.6666666666665</v>
      </c>
      <c r="H41" s="334">
        <v>2246.13</v>
      </c>
      <c r="I41" s="330">
        <v>2666.6666666666665</v>
      </c>
      <c r="J41" s="331">
        <v>2246.13</v>
      </c>
      <c r="K41" s="87"/>
      <c r="L41" s="366">
        <f t="shared" si="1"/>
        <v>3369.1950000000002</v>
      </c>
      <c r="N41" s="124">
        <v>3300</v>
      </c>
      <c r="O41" s="283">
        <f t="shared" si="4"/>
        <v>2640</v>
      </c>
      <c r="P41" s="283">
        <f t="shared" si="5"/>
        <v>660</v>
      </c>
      <c r="R41" s="345">
        <f t="shared" si="6"/>
        <v>-0.17499999999999999</v>
      </c>
    </row>
    <row r="42" spans="1:18" s="11" customFormat="1" ht="11.25" customHeight="1" outlineLevel="2">
      <c r="A42" s="26"/>
      <c r="B42" s="44"/>
      <c r="C42" s="26" t="s">
        <v>69</v>
      </c>
      <c r="D42" s="339">
        <v>2500</v>
      </c>
      <c r="E42" s="331">
        <f t="shared" si="7"/>
        <v>2250</v>
      </c>
      <c r="F42" s="331">
        <f t="shared" si="8"/>
        <v>250</v>
      </c>
      <c r="G42" s="331">
        <v>1666.6666666666667</v>
      </c>
      <c r="H42" s="334">
        <v>2341.4899999999998</v>
      </c>
      <c r="I42" s="330">
        <v>1666.6666666666667</v>
      </c>
      <c r="J42" s="331">
        <v>2341.4899999999998</v>
      </c>
      <c r="K42" s="87"/>
      <c r="L42" s="366">
        <f t="shared" si="1"/>
        <v>3512.2349999999997</v>
      </c>
      <c r="N42" s="124">
        <v>3500</v>
      </c>
      <c r="O42" s="283">
        <f t="shared" si="4"/>
        <v>2800</v>
      </c>
      <c r="P42" s="283">
        <f t="shared" si="5"/>
        <v>700</v>
      </c>
      <c r="R42" s="345">
        <f t="shared" si="6"/>
        <v>0.4</v>
      </c>
    </row>
    <row r="43" spans="1:18" s="11" customFormat="1" ht="11.25" customHeight="1" outlineLevel="2">
      <c r="A43" s="26"/>
      <c r="B43" s="44"/>
      <c r="C43" s="26" t="s">
        <v>154</v>
      </c>
      <c r="D43" s="339">
        <v>500</v>
      </c>
      <c r="E43" s="331">
        <f t="shared" si="7"/>
        <v>450</v>
      </c>
      <c r="F43" s="331">
        <f t="shared" si="8"/>
        <v>50</v>
      </c>
      <c r="G43" s="331">
        <v>333.33333333333331</v>
      </c>
      <c r="H43" s="334">
        <v>1146.7</v>
      </c>
      <c r="I43" s="330">
        <v>333.33333333333331</v>
      </c>
      <c r="J43" s="331">
        <v>1146.7</v>
      </c>
      <c r="K43" s="87"/>
      <c r="L43" s="366">
        <f t="shared" si="1"/>
        <v>1720.0500000000002</v>
      </c>
      <c r="N43" s="124">
        <v>1750</v>
      </c>
      <c r="O43" s="283">
        <f t="shared" si="4"/>
        <v>1400</v>
      </c>
      <c r="P43" s="283">
        <f t="shared" si="5"/>
        <v>350</v>
      </c>
      <c r="R43" s="345">
        <f t="shared" si="6"/>
        <v>2.5</v>
      </c>
    </row>
    <row r="44" spans="1:18" s="11" customFormat="1" ht="11.25" customHeight="1" outlineLevel="2">
      <c r="A44" s="26"/>
      <c r="B44" s="44"/>
      <c r="C44" s="26" t="s">
        <v>73</v>
      </c>
      <c r="D44" s="339">
        <v>0</v>
      </c>
      <c r="E44" s="331">
        <f t="shared" si="7"/>
        <v>0</v>
      </c>
      <c r="F44" s="331">
        <f t="shared" si="8"/>
        <v>0</v>
      </c>
      <c r="G44" s="331">
        <v>0</v>
      </c>
      <c r="H44" s="334">
        <v>121.78</v>
      </c>
      <c r="I44" s="330">
        <v>66.666666666666671</v>
      </c>
      <c r="J44" s="331">
        <v>121.78</v>
      </c>
      <c r="K44" s="87"/>
      <c r="L44" s="366">
        <f t="shared" si="1"/>
        <v>182.67000000000002</v>
      </c>
      <c r="N44" s="124">
        <v>180</v>
      </c>
      <c r="O44" s="283">
        <f t="shared" si="4"/>
        <v>144</v>
      </c>
      <c r="P44" s="283">
        <f t="shared" si="5"/>
        <v>36</v>
      </c>
      <c r="R44" s="345"/>
    </row>
    <row r="45" spans="1:18" s="11" customFormat="1" ht="11.25" customHeight="1" outlineLevel="2">
      <c r="A45" s="26"/>
      <c r="B45" s="44"/>
      <c r="C45" s="26" t="s">
        <v>74</v>
      </c>
      <c r="D45" s="339">
        <v>100</v>
      </c>
      <c r="E45" s="331">
        <f t="shared" si="7"/>
        <v>90</v>
      </c>
      <c r="F45" s="331">
        <f t="shared" si="8"/>
        <v>10</v>
      </c>
      <c r="G45" s="331">
        <v>66.666666666666671</v>
      </c>
      <c r="H45" s="334">
        <v>5457.08</v>
      </c>
      <c r="I45" s="330">
        <v>1333.3333333333333</v>
      </c>
      <c r="J45" s="331">
        <v>5457.08</v>
      </c>
      <c r="K45" s="87"/>
      <c r="L45" s="366">
        <f t="shared" si="1"/>
        <v>8185.62</v>
      </c>
      <c r="N45" s="124">
        <v>8000</v>
      </c>
      <c r="O45" s="283">
        <f t="shared" si="4"/>
        <v>6400</v>
      </c>
      <c r="P45" s="283">
        <f t="shared" si="5"/>
        <v>1600</v>
      </c>
      <c r="R45" s="345">
        <f>(N45-D45)/D45</f>
        <v>79</v>
      </c>
    </row>
    <row r="46" spans="1:18" s="11" customFormat="1" ht="11.25" customHeight="1" outlineLevel="2">
      <c r="A46" s="26"/>
      <c r="B46" s="44"/>
      <c r="C46" s="26" t="s">
        <v>156</v>
      </c>
      <c r="D46" s="339">
        <v>2000</v>
      </c>
      <c r="E46" s="331"/>
      <c r="F46" s="331"/>
      <c r="G46" s="331">
        <v>1333.3333333333333</v>
      </c>
      <c r="H46" s="334">
        <v>0</v>
      </c>
      <c r="I46" s="330">
        <v>0</v>
      </c>
      <c r="J46" s="331">
        <v>0</v>
      </c>
      <c r="K46" s="87"/>
      <c r="L46" s="366">
        <f t="shared" si="1"/>
        <v>0</v>
      </c>
      <c r="N46" s="124"/>
      <c r="O46" s="283">
        <f t="shared" si="4"/>
        <v>0</v>
      </c>
      <c r="P46" s="283">
        <f t="shared" si="5"/>
        <v>0</v>
      </c>
      <c r="R46" s="345">
        <f>(N46-D46)/D46</f>
        <v>-1</v>
      </c>
    </row>
    <row r="47" spans="1:18" s="11" customFormat="1" ht="11.25" customHeight="1" outlineLevel="2">
      <c r="A47" s="26"/>
      <c r="B47" s="44"/>
      <c r="C47" s="26" t="s">
        <v>157</v>
      </c>
      <c r="D47" s="339"/>
      <c r="E47" s="331">
        <f>D47*90%</f>
        <v>0</v>
      </c>
      <c r="F47" s="331">
        <f>D47*10%</f>
        <v>0</v>
      </c>
      <c r="G47" s="331">
        <v>0</v>
      </c>
      <c r="H47" s="334">
        <v>252.22</v>
      </c>
      <c r="I47" s="330">
        <v>133.33333333333334</v>
      </c>
      <c r="J47" s="331">
        <v>252.22</v>
      </c>
      <c r="K47" s="87"/>
      <c r="L47" s="366">
        <f t="shared" si="1"/>
        <v>378.33</v>
      </c>
      <c r="N47" s="124">
        <v>400</v>
      </c>
      <c r="O47" s="283">
        <f t="shared" si="4"/>
        <v>320</v>
      </c>
      <c r="P47" s="283">
        <f t="shared" si="5"/>
        <v>80</v>
      </c>
      <c r="R47" s="345"/>
    </row>
    <row r="48" spans="1:18" s="11" customFormat="1" ht="11.25" customHeight="1" outlineLevel="2">
      <c r="A48" s="26"/>
      <c r="B48" s="44"/>
      <c r="C48" s="26" t="s">
        <v>158</v>
      </c>
      <c r="D48" s="339">
        <v>200</v>
      </c>
      <c r="E48" s="331">
        <f>D48*90%</f>
        <v>180</v>
      </c>
      <c r="F48" s="331">
        <f>D48*10%</f>
        <v>20</v>
      </c>
      <c r="G48" s="331">
        <v>133.33333333333334</v>
      </c>
      <c r="H48" s="334">
        <v>0</v>
      </c>
      <c r="I48" s="330">
        <v>200198.17333333337</v>
      </c>
      <c r="J48" s="331">
        <v>0</v>
      </c>
      <c r="K48" s="87"/>
      <c r="L48" s="366">
        <f t="shared" si="1"/>
        <v>0</v>
      </c>
      <c r="N48" s="124">
        <v>0</v>
      </c>
      <c r="O48" s="283">
        <f t="shared" si="4"/>
        <v>0</v>
      </c>
      <c r="P48" s="283">
        <f t="shared" si="5"/>
        <v>0</v>
      </c>
      <c r="R48" s="345">
        <f>(N48-D48)/D48</f>
        <v>-1</v>
      </c>
    </row>
    <row r="49" spans="1:19" s="395" customFormat="1" ht="11.25" customHeight="1" outlineLevel="2">
      <c r="A49" s="401"/>
      <c r="B49" s="401" t="s">
        <v>13</v>
      </c>
      <c r="C49" s="394"/>
      <c r="D49" s="403">
        <v>300297.26</v>
      </c>
      <c r="E49" s="404">
        <f t="shared" ref="E49:F49" si="9">SUM(E50:E57)</f>
        <v>270267.53399999999</v>
      </c>
      <c r="F49" s="404">
        <f t="shared" si="9"/>
        <v>30029.726000000002</v>
      </c>
      <c r="G49" s="388">
        <v>200198.17333333337</v>
      </c>
      <c r="H49" s="405">
        <v>165001.14999999997</v>
      </c>
      <c r="I49" s="406">
        <v>160944</v>
      </c>
      <c r="J49" s="388">
        <v>165001.14999999997</v>
      </c>
      <c r="K49" s="374"/>
      <c r="L49" s="384">
        <f t="shared" si="1"/>
        <v>247501.72499999995</v>
      </c>
      <c r="N49" s="396">
        <f>SUM(N50:N59)</f>
        <v>310647.69432100002</v>
      </c>
      <c r="O49" s="369">
        <f t="shared" si="4"/>
        <v>248518.15545680001</v>
      </c>
      <c r="P49" s="369">
        <f t="shared" si="5"/>
        <v>62129.538864200003</v>
      </c>
      <c r="R49" s="379">
        <f>(N49-D49)/D49</f>
        <v>3.4467295242720519E-2</v>
      </c>
      <c r="S49" s="319" t="s">
        <v>245</v>
      </c>
    </row>
    <row r="50" spans="1:19" s="11" customFormat="1" ht="11.25" customHeight="1" outlineLevel="2">
      <c r="A50" s="26"/>
      <c r="B50" s="44"/>
      <c r="C50" s="26" t="s">
        <v>79</v>
      </c>
      <c r="D50" s="339">
        <v>241416</v>
      </c>
      <c r="E50" s="331">
        <f>D50*90%</f>
        <v>217274.4</v>
      </c>
      <c r="F50" s="331">
        <f>D50*10%</f>
        <v>24141.600000000002</v>
      </c>
      <c r="G50" s="331">
        <v>160944</v>
      </c>
      <c r="H50" s="334">
        <v>136335.29999999999</v>
      </c>
      <c r="I50" s="330">
        <v>0</v>
      </c>
      <c r="J50" s="331">
        <v>136335.29999999999</v>
      </c>
      <c r="K50" s="87"/>
      <c r="L50" s="366">
        <f t="shared" si="1"/>
        <v>204502.94999999998</v>
      </c>
      <c r="N50" s="124">
        <f>((L50+32000)*1.06)</f>
        <v>250693.12700000001</v>
      </c>
      <c r="O50" s="283">
        <f t="shared" si="4"/>
        <v>200554.50160000002</v>
      </c>
      <c r="P50" s="283">
        <f t="shared" si="5"/>
        <v>50138.625400000004</v>
      </c>
      <c r="R50" s="345">
        <f>(N50-D50)/D50</f>
        <v>3.8427970805580441E-2</v>
      </c>
    </row>
    <row r="51" spans="1:19" s="11" customFormat="1" ht="11.25" customHeight="1" outlineLevel="2">
      <c r="A51" s="26"/>
      <c r="B51" s="44"/>
      <c r="C51" s="26" t="s">
        <v>80</v>
      </c>
      <c r="D51" s="339">
        <v>0</v>
      </c>
      <c r="E51" s="331"/>
      <c r="F51" s="331"/>
      <c r="G51" s="331">
        <v>0</v>
      </c>
      <c r="H51" s="334">
        <v>0</v>
      </c>
      <c r="I51" s="330">
        <v>35890.513333333329</v>
      </c>
      <c r="J51" s="331">
        <v>0</v>
      </c>
      <c r="K51" s="87"/>
      <c r="L51" s="366">
        <f t="shared" si="1"/>
        <v>0</v>
      </c>
      <c r="N51" s="124"/>
      <c r="O51" s="283">
        <f t="shared" si="4"/>
        <v>0</v>
      </c>
      <c r="P51" s="283">
        <f t="shared" si="5"/>
        <v>0</v>
      </c>
      <c r="R51" s="344"/>
    </row>
    <row r="52" spans="1:19" s="11" customFormat="1" ht="11.25" customHeight="1" outlineLevel="2">
      <c r="A52" s="26"/>
      <c r="B52" s="44"/>
      <c r="C52" s="26" t="s">
        <v>159</v>
      </c>
      <c r="D52" s="339">
        <v>53835.77</v>
      </c>
      <c r="E52" s="331">
        <f>D52*90%</f>
        <v>48452.192999999999</v>
      </c>
      <c r="F52" s="331">
        <f>D52*10%</f>
        <v>5383.5770000000002</v>
      </c>
      <c r="G52" s="331">
        <v>35890.513333333329</v>
      </c>
      <c r="H52" s="334">
        <v>26548.02</v>
      </c>
      <c r="I52" s="330">
        <v>2896.9933333333333</v>
      </c>
      <c r="J52" s="331">
        <v>26548.02</v>
      </c>
      <c r="K52" s="87"/>
      <c r="L52" s="366">
        <f t="shared" si="1"/>
        <v>39822.03</v>
      </c>
      <c r="N52" s="124">
        <f>N50*0.223</f>
        <v>55904.567321000002</v>
      </c>
      <c r="O52" s="283">
        <f t="shared" si="4"/>
        <v>44723.653856800003</v>
      </c>
      <c r="P52" s="283">
        <f t="shared" si="5"/>
        <v>11180.913464200001</v>
      </c>
      <c r="R52" s="345">
        <f>(N52-D52)/D52</f>
        <v>3.8427932227959323E-2</v>
      </c>
    </row>
    <row r="53" spans="1:19" s="11" customFormat="1" ht="11.25" customHeight="1" outlineLevel="2">
      <c r="A53" s="26"/>
      <c r="B53" s="44"/>
      <c r="C53" s="26" t="s">
        <v>160</v>
      </c>
      <c r="D53" s="339">
        <v>4345.49</v>
      </c>
      <c r="E53" s="331">
        <f>D53*90%</f>
        <v>3910.9409999999998</v>
      </c>
      <c r="F53" s="331">
        <f>D53*10%</f>
        <v>434.54899999999998</v>
      </c>
      <c r="G53" s="331">
        <v>2896.9933333333333</v>
      </c>
      <c r="H53" s="334">
        <v>1473.83</v>
      </c>
      <c r="I53" s="330">
        <v>0</v>
      </c>
      <c r="J53" s="331">
        <v>1473.83</v>
      </c>
      <c r="K53" s="87"/>
      <c r="L53" s="366">
        <f t="shared" si="1"/>
        <v>2210.7449999999999</v>
      </c>
      <c r="N53" s="124">
        <v>2500</v>
      </c>
      <c r="O53" s="283">
        <f t="shared" si="4"/>
        <v>2000</v>
      </c>
      <c r="P53" s="283">
        <f t="shared" si="5"/>
        <v>500</v>
      </c>
      <c r="R53" s="345">
        <f>(N53-D53)/D53</f>
        <v>-0.4246908864132698</v>
      </c>
    </row>
    <row r="54" spans="1:19" s="11" customFormat="1" ht="11.25" customHeight="1" outlineLevel="2">
      <c r="A54" s="26"/>
      <c r="B54" s="44"/>
      <c r="C54" s="26" t="s">
        <v>86</v>
      </c>
      <c r="D54" s="339">
        <v>0</v>
      </c>
      <c r="E54" s="331"/>
      <c r="F54" s="331"/>
      <c r="G54" s="331">
        <v>0</v>
      </c>
      <c r="H54" s="334">
        <v>249</v>
      </c>
      <c r="I54" s="330">
        <v>133.33333333333334</v>
      </c>
      <c r="J54" s="331">
        <v>249</v>
      </c>
      <c r="K54" s="87"/>
      <c r="L54" s="366">
        <f t="shared" si="1"/>
        <v>373.5</v>
      </c>
      <c r="N54" s="124">
        <v>300</v>
      </c>
      <c r="O54" s="283">
        <f t="shared" si="4"/>
        <v>240</v>
      </c>
      <c r="P54" s="283">
        <f t="shared" si="5"/>
        <v>60</v>
      </c>
      <c r="R54" s="345"/>
    </row>
    <row r="55" spans="1:19" s="11" customFormat="1" ht="11.25" customHeight="1" outlineLevel="2">
      <c r="A55" s="26"/>
      <c r="B55" s="44"/>
      <c r="C55" s="26" t="s">
        <v>161</v>
      </c>
      <c r="D55" s="339">
        <v>200</v>
      </c>
      <c r="E55" s="331">
        <f>D55*90%</f>
        <v>180</v>
      </c>
      <c r="F55" s="331">
        <f>D55*10%</f>
        <v>20</v>
      </c>
      <c r="G55" s="331">
        <v>133.33333333333334</v>
      </c>
      <c r="H55" s="334">
        <v>395</v>
      </c>
      <c r="I55" s="330">
        <v>333.33333333333331</v>
      </c>
      <c r="J55" s="331">
        <v>395</v>
      </c>
      <c r="K55" s="87"/>
      <c r="L55" s="366">
        <f t="shared" si="1"/>
        <v>592.5</v>
      </c>
      <c r="N55" s="124">
        <v>600</v>
      </c>
      <c r="O55" s="283">
        <f t="shared" si="4"/>
        <v>480</v>
      </c>
      <c r="P55" s="283">
        <f t="shared" si="5"/>
        <v>120</v>
      </c>
      <c r="R55" s="345">
        <f>(N55-D55)/D55</f>
        <v>2</v>
      </c>
    </row>
    <row r="56" spans="1:19" s="11" customFormat="1" ht="11.25" customHeight="1" outlineLevel="2">
      <c r="A56" s="26"/>
      <c r="B56" s="44"/>
      <c r="C56" s="26" t="s">
        <v>85</v>
      </c>
      <c r="D56" s="341">
        <v>500</v>
      </c>
      <c r="E56" s="331">
        <f>D56*90%</f>
        <v>450</v>
      </c>
      <c r="F56" s="331">
        <f>D56*10%</f>
        <v>50</v>
      </c>
      <c r="G56" s="331">
        <v>333.33333333333331</v>
      </c>
      <c r="H56" s="334">
        <v>0</v>
      </c>
      <c r="I56" s="330">
        <v>0</v>
      </c>
      <c r="J56" s="331">
        <v>0</v>
      </c>
      <c r="K56" s="87"/>
      <c r="L56" s="366">
        <f t="shared" si="1"/>
        <v>0</v>
      </c>
      <c r="N56" s="124">
        <v>650</v>
      </c>
      <c r="O56" s="283">
        <f t="shared" si="4"/>
        <v>520</v>
      </c>
      <c r="P56" s="283">
        <f t="shared" si="5"/>
        <v>130</v>
      </c>
      <c r="R56" s="345">
        <f>(N56-D56)/D56</f>
        <v>0.3</v>
      </c>
    </row>
    <row r="57" spans="1:19" s="13" customFormat="1" ht="14.25" customHeight="1" outlineLevel="1">
      <c r="A57" s="26"/>
      <c r="B57" s="44"/>
      <c r="C57" s="26" t="s">
        <v>212</v>
      </c>
      <c r="D57" s="339">
        <v>0</v>
      </c>
      <c r="E57" s="331"/>
      <c r="F57" s="331"/>
      <c r="G57" s="331">
        <v>0</v>
      </c>
      <c r="H57" s="334">
        <v>0</v>
      </c>
      <c r="I57" s="330">
        <v>0</v>
      </c>
      <c r="J57" s="331">
        <v>0</v>
      </c>
      <c r="K57" s="87"/>
      <c r="L57" s="366">
        <f t="shared" si="1"/>
        <v>0</v>
      </c>
      <c r="N57" s="348">
        <v>0</v>
      </c>
      <c r="O57" s="283">
        <f t="shared" si="4"/>
        <v>0</v>
      </c>
      <c r="P57" s="283">
        <f t="shared" si="5"/>
        <v>0</v>
      </c>
      <c r="R57" s="345"/>
    </row>
    <row r="58" spans="1:19" s="412" customFormat="1" ht="12.75" customHeight="1" outlineLevel="2">
      <c r="A58" s="319"/>
      <c r="B58" s="394" t="s">
        <v>87</v>
      </c>
      <c r="C58" s="319"/>
      <c r="D58" s="403">
        <v>0</v>
      </c>
      <c r="E58" s="388">
        <f>SUM(E59:E59)</f>
        <v>0</v>
      </c>
      <c r="F58" s="388">
        <f>SUM(F59:F59)</f>
        <v>0</v>
      </c>
      <c r="G58" s="388">
        <v>0</v>
      </c>
      <c r="H58" s="407">
        <v>0</v>
      </c>
      <c r="I58" s="408">
        <v>0</v>
      </c>
      <c r="J58" s="388">
        <v>0</v>
      </c>
      <c r="K58" s="409"/>
      <c r="L58" s="384">
        <f t="shared" si="1"/>
        <v>0</v>
      </c>
      <c r="M58" s="410"/>
      <c r="N58" s="411">
        <v>0</v>
      </c>
      <c r="O58" s="369">
        <f t="shared" si="4"/>
        <v>0</v>
      </c>
      <c r="P58" s="369">
        <f t="shared" si="5"/>
        <v>0</v>
      </c>
      <c r="R58" s="379"/>
    </row>
    <row r="59" spans="1:19" s="329" customFormat="1" ht="12.75" customHeight="1" outlineLevel="2">
      <c r="A59" s="26"/>
      <c r="B59" s="26"/>
      <c r="C59" s="26" t="s">
        <v>44</v>
      </c>
      <c r="D59" s="331">
        <v>0</v>
      </c>
      <c r="E59" s="331">
        <f>D59/12*$H$3</f>
        <v>0</v>
      </c>
      <c r="F59" s="331">
        <v>0</v>
      </c>
      <c r="G59" s="331">
        <v>0</v>
      </c>
      <c r="H59" s="335">
        <v>0</v>
      </c>
      <c r="I59" s="337">
        <v>32000</v>
      </c>
      <c r="J59" s="331">
        <v>0</v>
      </c>
      <c r="K59" s="328"/>
      <c r="L59" s="366">
        <f t="shared" si="1"/>
        <v>0</v>
      </c>
      <c r="N59" s="124"/>
      <c r="O59" s="283">
        <f t="shared" si="4"/>
        <v>0</v>
      </c>
      <c r="P59" s="283">
        <f t="shared" si="5"/>
        <v>0</v>
      </c>
      <c r="R59" s="344"/>
    </row>
    <row r="60" spans="1:19" s="395" customFormat="1" ht="11.25" customHeight="1" outlineLevel="2">
      <c r="A60" s="401"/>
      <c r="B60" s="401" t="s">
        <v>88</v>
      </c>
      <c r="C60" s="394"/>
      <c r="D60" s="403">
        <v>48000</v>
      </c>
      <c r="E60" s="389">
        <f>SUM(E61)</f>
        <v>43200</v>
      </c>
      <c r="F60" s="389">
        <f>SUM(F61)</f>
        <v>4800</v>
      </c>
      <c r="G60" s="388">
        <v>32000</v>
      </c>
      <c r="H60" s="390">
        <v>22370.67</v>
      </c>
      <c r="I60" s="391">
        <v>32000</v>
      </c>
      <c r="J60" s="388">
        <v>22370.67</v>
      </c>
      <c r="K60" s="374"/>
      <c r="L60" s="384">
        <f t="shared" si="1"/>
        <v>33556.004999999997</v>
      </c>
      <c r="N60" s="396">
        <v>38000</v>
      </c>
      <c r="O60" s="369">
        <f t="shared" si="4"/>
        <v>30400</v>
      </c>
      <c r="P60" s="369">
        <f t="shared" si="5"/>
        <v>7600</v>
      </c>
      <c r="R60" s="379">
        <f>(N60-D60)/D60</f>
        <v>-0.20833333333333334</v>
      </c>
    </row>
    <row r="61" spans="1:19" s="14" customFormat="1" ht="14" customHeight="1" outlineLevel="1">
      <c r="A61" s="26"/>
      <c r="B61" s="44"/>
      <c r="C61" s="26" t="s">
        <v>162</v>
      </c>
      <c r="D61" s="339">
        <v>48000</v>
      </c>
      <c r="E61" s="331">
        <f>D61*90%</f>
        <v>43200</v>
      </c>
      <c r="F61" s="331">
        <f>D61*10%</f>
        <v>4800</v>
      </c>
      <c r="G61" s="331">
        <v>32000</v>
      </c>
      <c r="H61" s="334">
        <v>22370.67</v>
      </c>
      <c r="I61" s="330">
        <v>0</v>
      </c>
      <c r="J61" s="331">
        <v>22370.67</v>
      </c>
      <c r="K61" s="87"/>
      <c r="L61" s="366">
        <f t="shared" si="1"/>
        <v>33556.004999999997</v>
      </c>
      <c r="N61" s="124">
        <v>38000</v>
      </c>
      <c r="O61" s="283">
        <f t="shared" si="4"/>
        <v>30400</v>
      </c>
      <c r="P61" s="283">
        <f t="shared" si="5"/>
        <v>7600</v>
      </c>
      <c r="R61" s="345">
        <f>(N61-D61)/D61</f>
        <v>-0.20833333333333334</v>
      </c>
    </row>
    <row r="62" spans="1:19" s="395" customFormat="1" ht="12" customHeight="1" outlineLevel="2">
      <c r="A62" s="394"/>
      <c r="B62" s="394" t="s">
        <v>121</v>
      </c>
      <c r="C62" s="394"/>
      <c r="D62" s="388">
        <v>0</v>
      </c>
      <c r="E62" s="389">
        <f>SUM(E63:E63)</f>
        <v>0</v>
      </c>
      <c r="F62" s="389">
        <f>SUM(F63:F63)</f>
        <v>0</v>
      </c>
      <c r="G62" s="388">
        <v>0</v>
      </c>
      <c r="H62" s="390">
        <v>3067.7</v>
      </c>
      <c r="I62" s="391">
        <v>0</v>
      </c>
      <c r="J62" s="388">
        <v>3067.7</v>
      </c>
      <c r="K62" s="374"/>
      <c r="L62" s="384">
        <f t="shared" si="1"/>
        <v>4601.5499999999993</v>
      </c>
      <c r="N62" s="396">
        <v>0</v>
      </c>
      <c r="O62" s="369">
        <f t="shared" si="4"/>
        <v>0</v>
      </c>
      <c r="P62" s="369">
        <f t="shared" si="5"/>
        <v>0</v>
      </c>
    </row>
    <row r="63" spans="1:19" ht="12" customHeight="1">
      <c r="A63" s="26"/>
      <c r="B63" s="44"/>
      <c r="C63" s="26" t="s">
        <v>122</v>
      </c>
      <c r="D63" s="331">
        <v>0</v>
      </c>
      <c r="E63" s="331"/>
      <c r="F63" s="331"/>
      <c r="G63" s="331">
        <v>0</v>
      </c>
      <c r="H63" s="334">
        <v>30</v>
      </c>
      <c r="I63" s="330">
        <v>0</v>
      </c>
      <c r="J63" s="331">
        <v>30</v>
      </c>
      <c r="L63" s="366">
        <f t="shared" ref="L63:L64" si="10">J63/8*12</f>
        <v>45</v>
      </c>
      <c r="M63" s="5"/>
      <c r="N63" s="124"/>
      <c r="O63" s="283">
        <f t="shared" si="4"/>
        <v>0</v>
      </c>
      <c r="P63" s="283">
        <f t="shared" si="5"/>
        <v>0</v>
      </c>
    </row>
    <row r="64" spans="1:19" ht="12" customHeight="1">
      <c r="C64" s="26" t="s">
        <v>105</v>
      </c>
      <c r="D64" s="331">
        <v>0</v>
      </c>
      <c r="E64" s="331"/>
      <c r="F64" s="331"/>
      <c r="G64" s="331">
        <v>0</v>
      </c>
      <c r="H64" s="334">
        <v>3037.7</v>
      </c>
      <c r="I64" s="330">
        <v>0</v>
      </c>
      <c r="J64" s="331">
        <v>3037.7</v>
      </c>
      <c r="L64" s="366">
        <f t="shared" si="10"/>
        <v>4556.5499999999993</v>
      </c>
      <c r="M64" s="5"/>
      <c r="N64" s="124"/>
      <c r="O64" s="283">
        <f t="shared" si="4"/>
        <v>0</v>
      </c>
      <c r="P64" s="283">
        <f t="shared" si="5"/>
        <v>0</v>
      </c>
    </row>
    <row r="65" spans="3:16" ht="11.25" customHeight="1">
      <c r="C65" s="26"/>
      <c r="D65" s="342">
        <v>0</v>
      </c>
      <c r="E65" s="342"/>
      <c r="F65" s="342"/>
      <c r="G65" s="342">
        <v>0</v>
      </c>
      <c r="H65" s="334">
        <v>0</v>
      </c>
      <c r="I65" s="330">
        <v>0</v>
      </c>
      <c r="J65" s="342">
        <v>0</v>
      </c>
      <c r="L65" s="367"/>
      <c r="M65" s="5"/>
      <c r="N65" s="349"/>
      <c r="O65" s="361">
        <f t="shared" si="4"/>
        <v>0</v>
      </c>
      <c r="P65" s="361">
        <f t="shared" si="5"/>
        <v>0</v>
      </c>
    </row>
    <row r="66" spans="3:16">
      <c r="M66" s="5"/>
      <c r="N66" s="26"/>
    </row>
    <row r="67" spans="3:16">
      <c r="M67" s="5"/>
      <c r="N67" s="26"/>
    </row>
    <row r="68" spans="3:16">
      <c r="M68" s="5"/>
      <c r="N68" s="26"/>
    </row>
    <row r="69" spans="3:16">
      <c r="M69" s="5"/>
      <c r="N69" s="26"/>
    </row>
    <row r="70" spans="3:16">
      <c r="M70" s="5"/>
      <c r="N70" s="26"/>
    </row>
    <row r="71" spans="3:16">
      <c r="M71" s="5"/>
      <c r="N71" s="26"/>
    </row>
    <row r="72" spans="3:16">
      <c r="M72" s="5"/>
      <c r="N72" s="26"/>
    </row>
    <row r="73" spans="3:16">
      <c r="M73" s="5"/>
      <c r="N73" s="26"/>
    </row>
    <row r="74" spans="3:16">
      <c r="M74" s="5"/>
      <c r="N74" s="26"/>
    </row>
    <row r="75" spans="3:16">
      <c r="M75" s="5"/>
      <c r="N75" s="26"/>
    </row>
    <row r="76" spans="3:16">
      <c r="M76" s="5"/>
      <c r="N76" s="26"/>
    </row>
    <row r="77" spans="3:16">
      <c r="M77" s="5"/>
      <c r="N77" s="26"/>
    </row>
    <row r="78" spans="3:16">
      <c r="M78" s="5"/>
      <c r="N78" s="26"/>
    </row>
  </sheetData>
  <printOptions horizontalCentered="1" verticalCentered="1" gridLinesSet="0"/>
  <pageMargins left="0.39370078740157483" right="0.27559055118110237" top="0.27559055118110237" bottom="0.11811023622047245" header="0.51181102362204722" footer="0"/>
  <pageSetup paperSize="9" scale="90" orientation="portrait" r:id="rId1"/>
  <headerFooter alignWithMargins="0">
    <oddFooter>&amp;L&amp;8DOC06.PG01_Orçamento LapiSul_2015&amp;C&amp;8Aprovado pelo Conselho Diretor &amp;R&amp;8 6/10/2014</oddFooter>
  </headerFooter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S84"/>
  <sheetViews>
    <sheetView showGridLines="0" topLeftCell="A12" zoomScale="106" zoomScaleNormal="120" workbookViewId="0">
      <selection activeCell="T67" sqref="T67"/>
    </sheetView>
  </sheetViews>
  <sheetFormatPr baseColWidth="10" defaultColWidth="9" defaultRowHeight="18" outlineLevelRow="2"/>
  <cols>
    <col min="1" max="1" width="3.19921875" style="15" customWidth="1"/>
    <col min="2" max="2" width="6" style="3" customWidth="1"/>
    <col min="3" max="3" width="29" style="5" customWidth="1"/>
    <col min="4" max="4" width="13.796875" style="16" customWidth="1"/>
    <col min="5" max="5" width="13" style="16" customWidth="1"/>
    <col min="6" max="6" width="11.3984375" style="16" customWidth="1"/>
    <col min="7" max="7" width="11" style="16" customWidth="1"/>
    <col min="8" max="9" width="13.796875" style="83" customWidth="1"/>
    <col min="10" max="10" width="4.796875" style="87" customWidth="1"/>
    <col min="11" max="11" width="19.19921875" style="368" customWidth="1"/>
    <col min="12" max="12" width="4.796875" style="5" customWidth="1"/>
    <col min="13" max="13" width="14.59765625" style="26" customWidth="1"/>
    <col min="14" max="14" width="16.3984375" style="5" customWidth="1"/>
    <col min="15" max="15" width="11.19921875" style="5" customWidth="1"/>
    <col min="16" max="17" width="9" style="5"/>
    <col min="18" max="18" width="24" style="645" customWidth="1"/>
    <col min="19" max="16384" width="9" style="5"/>
  </cols>
  <sheetData>
    <row r="1" spans="1:18">
      <c r="C1" s="18" t="s">
        <v>91</v>
      </c>
      <c r="K1" s="362"/>
    </row>
    <row r="2" spans="1:18" s="3" customFormat="1" ht="24" customHeight="1">
      <c r="B2" s="66"/>
      <c r="C2" s="17" t="s">
        <v>92</v>
      </c>
      <c r="D2" s="41"/>
      <c r="E2" s="41"/>
      <c r="F2" s="41"/>
      <c r="G2" s="41"/>
      <c r="H2" s="85"/>
      <c r="I2" s="85"/>
      <c r="J2" s="87"/>
      <c r="K2" s="363"/>
      <c r="M2" s="603"/>
      <c r="R2" s="218"/>
    </row>
    <row r="3" spans="1:18" s="3" customFormat="1" ht="24" customHeight="1">
      <c r="A3" s="239" t="s">
        <v>163</v>
      </c>
      <c r="B3" s="66"/>
      <c r="C3" s="17"/>
      <c r="D3" s="41"/>
      <c r="E3" s="41"/>
      <c r="F3" s="41"/>
      <c r="G3" s="41"/>
      <c r="H3" s="85"/>
      <c r="I3" s="85"/>
      <c r="J3" s="87"/>
      <c r="K3" s="240"/>
      <c r="M3" s="603"/>
      <c r="R3" s="218"/>
    </row>
    <row r="4" spans="1:18" s="4" customFormat="1" ht="17.25" customHeight="1">
      <c r="A4" s="414" t="s">
        <v>125</v>
      </c>
      <c r="B4" s="44"/>
      <c r="C4" s="44"/>
      <c r="E4" s="350"/>
      <c r="F4" s="350"/>
      <c r="G4" s="350"/>
      <c r="H4" s="350"/>
      <c r="I4" s="228"/>
      <c r="J4" s="87"/>
      <c r="K4" s="364"/>
      <c r="L4" s="79"/>
      <c r="M4" s="603"/>
      <c r="R4" s="218"/>
    </row>
    <row r="5" spans="1:18" ht="29" customHeight="1">
      <c r="A5" s="26"/>
      <c r="B5" s="44"/>
      <c r="C5" s="26"/>
      <c r="D5" s="675">
        <v>2025</v>
      </c>
      <c r="E5" s="118" t="s">
        <v>164</v>
      </c>
      <c r="F5" s="118" t="s">
        <v>141</v>
      </c>
      <c r="G5" s="118" t="s">
        <v>165</v>
      </c>
      <c r="H5" s="677">
        <v>45870</v>
      </c>
      <c r="I5" s="678" t="s">
        <v>232</v>
      </c>
      <c r="K5" s="680" t="s">
        <v>233</v>
      </c>
      <c r="M5" s="673">
        <v>2026</v>
      </c>
      <c r="N5" s="118" t="s">
        <v>164</v>
      </c>
      <c r="O5" s="118" t="s">
        <v>141</v>
      </c>
      <c r="P5" s="118" t="s">
        <v>165</v>
      </c>
      <c r="R5" s="246" t="s">
        <v>235</v>
      </c>
    </row>
    <row r="6" spans="1:18" s="351" customFormat="1" ht="21" customHeight="1">
      <c r="A6" s="193"/>
      <c r="B6" s="416"/>
      <c r="C6" s="193"/>
      <c r="D6" s="676"/>
      <c r="E6" s="417">
        <v>0.92</v>
      </c>
      <c r="F6" s="417">
        <v>0.05</v>
      </c>
      <c r="G6" s="418">
        <v>0.03</v>
      </c>
      <c r="H6" s="677"/>
      <c r="I6" s="679"/>
      <c r="J6" s="419"/>
      <c r="K6" s="681"/>
      <c r="M6" s="674"/>
      <c r="N6" s="430">
        <v>0.96499999999999997</v>
      </c>
      <c r="O6" s="540">
        <v>0.03</v>
      </c>
      <c r="P6" s="453">
        <v>5.0000000000000001E-3</v>
      </c>
      <c r="R6" s="646"/>
    </row>
    <row r="7" spans="1:18" s="376" customFormat="1" ht="21" customHeight="1">
      <c r="A7" s="302" t="s">
        <v>15</v>
      </c>
      <c r="B7" s="302"/>
      <c r="C7" s="302"/>
      <c r="D7" s="375">
        <v>10244.311599999899</v>
      </c>
      <c r="E7" s="375">
        <f>E8-E34</f>
        <v>55199.161200000206</v>
      </c>
      <c r="F7" s="375">
        <f>F8-F34</f>
        <v>-26298.391000000011</v>
      </c>
      <c r="G7" s="375">
        <f>G8-G34</f>
        <v>-28756.458599999998</v>
      </c>
      <c r="H7" s="424">
        <v>6829.5410666665994</v>
      </c>
      <c r="I7" s="424">
        <v>87810.839999999735</v>
      </c>
      <c r="J7" s="374"/>
      <c r="K7" s="384">
        <f>K8-K34</f>
        <v>114190.03999999957</v>
      </c>
      <c r="M7" s="432">
        <f>M8-M34</f>
        <v>29342.601062399801</v>
      </c>
      <c r="N7" s="432">
        <f>M7*N6</f>
        <v>28315.610025215807</v>
      </c>
      <c r="O7" s="377">
        <f t="shared" ref="O7:P7" si="0">N7*O6</f>
        <v>849.46830075647415</v>
      </c>
      <c r="P7" s="432">
        <f t="shared" si="0"/>
        <v>4.247341503782371</v>
      </c>
      <c r="R7" s="643">
        <f>(M7-D7)/D7</f>
        <v>1.8642823654836982</v>
      </c>
    </row>
    <row r="8" spans="1:18" s="385" customFormat="1" ht="17" customHeight="1">
      <c r="A8" s="302" t="s">
        <v>6</v>
      </c>
      <c r="B8" s="302"/>
      <c r="C8" s="302"/>
      <c r="D8" s="195">
        <v>1354792.9316</v>
      </c>
      <c r="E8" s="195">
        <f>E9+E17+E25+E31+E23</f>
        <v>1279303.8916000002</v>
      </c>
      <c r="F8" s="195">
        <f>F9+F17+F25+F31+F23</f>
        <v>40229.040000000001</v>
      </c>
      <c r="G8" s="195">
        <f>G9+G17+G25+G31+G23</f>
        <v>11160</v>
      </c>
      <c r="H8" s="393">
        <v>903195.2877333333</v>
      </c>
      <c r="I8" s="393">
        <v>930879.62999999989</v>
      </c>
      <c r="J8" s="374"/>
      <c r="K8" s="384">
        <f>K9+K17+K21+K27+K31</f>
        <v>1378793.2249999999</v>
      </c>
      <c r="L8" s="425"/>
      <c r="M8" s="195">
        <f>M9+M17+M21+M25+M27+M31</f>
        <v>1433713.7439999999</v>
      </c>
      <c r="N8" s="377">
        <f>M8*N6</f>
        <v>1383533.76296</v>
      </c>
      <c r="O8" s="377">
        <f t="shared" ref="O8:P8" si="1">N8*O6</f>
        <v>41506.012888799996</v>
      </c>
      <c r="P8" s="377">
        <f t="shared" si="1"/>
        <v>207.53006444399998</v>
      </c>
      <c r="R8" s="643">
        <f t="shared" ref="R8:R71" si="2">(M8-D8)/D8</f>
        <v>5.8253044106744097E-2</v>
      </c>
    </row>
    <row r="9" spans="1:18" s="392" customFormat="1" ht="14.25" customHeight="1" outlineLevel="1">
      <c r="A9" s="394"/>
      <c r="B9" s="394" t="s">
        <v>199</v>
      </c>
      <c r="C9" s="394"/>
      <c r="D9" s="393">
        <v>853258.27260000003</v>
      </c>
      <c r="E9" s="393">
        <f>SUM(E10:E16)</f>
        <v>847258.27260000003</v>
      </c>
      <c r="F9" s="393">
        <f>SUM(F10:F16)</f>
        <v>6000</v>
      </c>
      <c r="G9" s="393">
        <f>SUM(G10:G16)</f>
        <v>0</v>
      </c>
      <c r="H9" s="393">
        <v>568838.84840000002</v>
      </c>
      <c r="I9" s="393">
        <v>537450.30999999994</v>
      </c>
      <c r="J9" s="374"/>
      <c r="K9" s="384">
        <f t="shared" ref="K9:K70" si="3">I9/8*12</f>
        <v>806175.46499999985</v>
      </c>
      <c r="L9" s="427"/>
      <c r="M9" s="393">
        <f>SUM(M10:M16)</f>
        <v>872662.31400000013</v>
      </c>
      <c r="N9" s="377">
        <f>M9*N6</f>
        <v>842119.13301000011</v>
      </c>
      <c r="O9" s="377">
        <f t="shared" ref="O9:P9" si="4">N9*O6</f>
        <v>25263.573990300003</v>
      </c>
      <c r="P9" s="377">
        <f t="shared" si="4"/>
        <v>126.31786995150001</v>
      </c>
      <c r="R9" s="643">
        <f t="shared" si="2"/>
        <v>2.2741111364643688E-2</v>
      </c>
    </row>
    <row r="10" spans="1:18" s="11" customFormat="1" ht="11.25" customHeight="1" outlineLevel="2">
      <c r="A10" s="26"/>
      <c r="B10" s="26"/>
      <c r="C10" s="26" t="s">
        <v>126</v>
      </c>
      <c r="D10" s="126">
        <v>850258.27260000003</v>
      </c>
      <c r="E10" s="137">
        <f>D10</f>
        <v>850258.27260000003</v>
      </c>
      <c r="F10" s="55"/>
      <c r="G10" s="76"/>
      <c r="H10" s="124">
        <v>566838.84840000002</v>
      </c>
      <c r="I10" s="124">
        <v>540612.56000000006</v>
      </c>
      <c r="J10" s="87"/>
      <c r="K10" s="366">
        <f t="shared" si="3"/>
        <v>810918.84000000008</v>
      </c>
      <c r="M10" s="604">
        <f>(K10*1.05)+(2000*12)</f>
        <v>875464.78200000012</v>
      </c>
      <c r="N10" s="428">
        <f>M10</f>
        <v>875464.78200000012</v>
      </c>
      <c r="O10" s="421"/>
      <c r="P10" s="421"/>
      <c r="R10" s="644">
        <f t="shared" si="2"/>
        <v>2.9645709088982165E-2</v>
      </c>
    </row>
    <row r="11" spans="1:18" s="11" customFormat="1" ht="11.25" customHeight="1" outlineLevel="2">
      <c r="A11" s="26"/>
      <c r="B11" s="26"/>
      <c r="C11" s="26" t="s">
        <v>33</v>
      </c>
      <c r="D11" s="126">
        <v>6000</v>
      </c>
      <c r="E11" s="137">
        <f>D11</f>
        <v>6000</v>
      </c>
      <c r="F11" s="55"/>
      <c r="G11" s="76"/>
      <c r="H11" s="134">
        <v>4000</v>
      </c>
      <c r="I11" s="134">
        <v>4615.1899999999996</v>
      </c>
      <c r="J11" s="87"/>
      <c r="K11" s="366">
        <f t="shared" si="3"/>
        <v>6922.7849999999999</v>
      </c>
      <c r="M11" s="605">
        <v>7000</v>
      </c>
      <c r="N11" s="541">
        <f t="shared" ref="N11:N12" si="5">M11</f>
        <v>7000</v>
      </c>
      <c r="O11" s="421"/>
      <c r="P11" s="421"/>
      <c r="R11" s="644">
        <f t="shared" si="2"/>
        <v>0.16666666666666666</v>
      </c>
    </row>
    <row r="12" spans="1:18" s="11" customFormat="1" ht="11.25" customHeight="1" outlineLevel="2">
      <c r="A12" s="26"/>
      <c r="B12" s="26"/>
      <c r="C12" s="26" t="s">
        <v>127</v>
      </c>
      <c r="D12" s="126">
        <v>25000</v>
      </c>
      <c r="E12" s="137">
        <f>D12</f>
        <v>25000</v>
      </c>
      <c r="F12" s="55"/>
      <c r="G12" s="76"/>
      <c r="H12" s="124">
        <v>16666.666666666668</v>
      </c>
      <c r="I12" s="124">
        <f>17470.75+5198.25</f>
        <v>22669</v>
      </c>
      <c r="J12" s="87"/>
      <c r="K12" s="366">
        <f t="shared" si="3"/>
        <v>34003.5</v>
      </c>
      <c r="M12" s="605">
        <f>M37+M39</f>
        <v>30000</v>
      </c>
      <c r="N12" s="541">
        <f t="shared" si="5"/>
        <v>30000</v>
      </c>
      <c r="O12" s="421"/>
      <c r="P12" s="421"/>
      <c r="R12" s="644">
        <f t="shared" si="2"/>
        <v>0.2</v>
      </c>
    </row>
    <row r="13" spans="1:18" s="11" customFormat="1" ht="11.25" customHeight="1" outlineLevel="2">
      <c r="A13" s="26"/>
      <c r="B13" s="26"/>
      <c r="C13" s="26" t="s">
        <v>129</v>
      </c>
      <c r="D13" s="126">
        <v>14000</v>
      </c>
      <c r="E13" s="137">
        <f>D13</f>
        <v>14000</v>
      </c>
      <c r="F13" s="55"/>
      <c r="G13" s="76"/>
      <c r="H13" s="421">
        <v>9333.3333333333339</v>
      </c>
      <c r="I13" s="421">
        <v>5175</v>
      </c>
      <c r="J13" s="87"/>
      <c r="K13" s="366">
        <f t="shared" si="3"/>
        <v>7762.5</v>
      </c>
      <c r="M13" s="605">
        <v>7000</v>
      </c>
      <c r="N13" s="421">
        <f>M13</f>
        <v>7000</v>
      </c>
      <c r="O13" s="421"/>
      <c r="P13" s="421"/>
      <c r="R13" s="644">
        <f t="shared" si="2"/>
        <v>-0.5</v>
      </c>
    </row>
    <row r="14" spans="1:18" s="11" customFormat="1" ht="11.25" customHeight="1" outlineLevel="2">
      <c r="A14" s="26"/>
      <c r="B14" s="26"/>
      <c r="C14" s="26" t="s">
        <v>130</v>
      </c>
      <c r="D14" s="126">
        <v>6000</v>
      </c>
      <c r="E14" s="137"/>
      <c r="F14" s="55">
        <f>D14</f>
        <v>6000</v>
      </c>
      <c r="G14" s="76"/>
      <c r="H14" s="348">
        <v>4000</v>
      </c>
      <c r="I14" s="348">
        <f>1941.08+1815</f>
        <v>3756.08</v>
      </c>
      <c r="J14" s="87"/>
      <c r="K14" s="366">
        <f t="shared" si="3"/>
        <v>5634.12</v>
      </c>
      <c r="M14" s="605">
        <f>K14*1.1</f>
        <v>6197.5320000000002</v>
      </c>
      <c r="N14" s="421">
        <f>M14</f>
        <v>6197.5320000000002</v>
      </c>
      <c r="O14" s="421"/>
      <c r="P14" s="421"/>
      <c r="R14" s="644">
        <f t="shared" si="2"/>
        <v>3.2922000000000028E-2</v>
      </c>
    </row>
    <row r="15" spans="1:18" s="11" customFormat="1" ht="11.25" customHeight="1" outlineLevel="2">
      <c r="A15" s="26"/>
      <c r="B15" s="26"/>
      <c r="C15" s="26" t="s">
        <v>30</v>
      </c>
      <c r="D15" s="126">
        <v>-30000</v>
      </c>
      <c r="E15" s="137">
        <f>D15</f>
        <v>-30000</v>
      </c>
      <c r="F15" s="55"/>
      <c r="G15" s="76"/>
      <c r="H15" s="124">
        <v>-20000</v>
      </c>
      <c r="I15" s="124">
        <v>-27343.989999999998</v>
      </c>
      <c r="J15" s="87"/>
      <c r="K15" s="366">
        <f t="shared" si="3"/>
        <v>-41015.985000000001</v>
      </c>
      <c r="M15" s="605">
        <v>-35000</v>
      </c>
      <c r="N15" s="421">
        <f>M15</f>
        <v>-35000</v>
      </c>
      <c r="O15" s="421"/>
      <c r="P15" s="421"/>
      <c r="R15" s="644">
        <f t="shared" si="2"/>
        <v>0.16666666666666666</v>
      </c>
    </row>
    <row r="16" spans="1:18" s="11" customFormat="1" ht="11.25" customHeight="1" outlineLevel="2">
      <c r="A16" s="26"/>
      <c r="B16" s="26"/>
      <c r="C16" s="26" t="s">
        <v>188</v>
      </c>
      <c r="D16" s="126">
        <v>-18000</v>
      </c>
      <c r="E16" s="137">
        <f>D16</f>
        <v>-18000</v>
      </c>
      <c r="F16" s="55"/>
      <c r="G16" s="76"/>
      <c r="H16" s="124">
        <v>-12000</v>
      </c>
      <c r="I16" s="124">
        <v>-12033.53</v>
      </c>
      <c r="J16" s="87"/>
      <c r="K16" s="366">
        <f t="shared" si="3"/>
        <v>-18050.295000000002</v>
      </c>
      <c r="M16" s="605">
        <v>-18000</v>
      </c>
      <c r="N16" s="421">
        <f>M16</f>
        <v>-18000</v>
      </c>
      <c r="O16" s="421"/>
      <c r="P16" s="421"/>
      <c r="R16" s="644">
        <f t="shared" si="2"/>
        <v>0</v>
      </c>
    </row>
    <row r="17" spans="1:18" s="392" customFormat="1" ht="14.25" customHeight="1" outlineLevel="1">
      <c r="A17" s="394"/>
      <c r="B17" s="394" t="s">
        <v>200</v>
      </c>
      <c r="C17" s="394"/>
      <c r="D17" s="393">
        <v>477334.65900000004</v>
      </c>
      <c r="E17" s="393">
        <f>SUM(E18:E22)</f>
        <v>431945.61900000006</v>
      </c>
      <c r="F17" s="393">
        <f>SUM(F18:F22)</f>
        <v>34229.040000000001</v>
      </c>
      <c r="G17" s="393">
        <f>SUM(G18:G22)</f>
        <v>11160</v>
      </c>
      <c r="H17" s="396">
        <v>318223.10600000003</v>
      </c>
      <c r="I17" s="396">
        <v>363367.62</v>
      </c>
      <c r="J17" s="374"/>
      <c r="K17" s="384">
        <f t="shared" si="3"/>
        <v>545051.42999999993</v>
      </c>
      <c r="M17" s="606">
        <f>SUM(M18:M20)</f>
        <v>545051.42999999993</v>
      </c>
      <c r="N17" s="377">
        <f>M17*N6</f>
        <v>525974.62994999997</v>
      </c>
      <c r="O17" s="377">
        <f>N17*O6</f>
        <v>15779.238898499998</v>
      </c>
      <c r="P17" s="377">
        <f>O17*P6</f>
        <v>78.896194492499987</v>
      </c>
      <c r="R17" s="643">
        <f t="shared" si="2"/>
        <v>0.14186434972449777</v>
      </c>
    </row>
    <row r="18" spans="1:18" s="11" customFormat="1" ht="11.25" customHeight="1" outlineLevel="2">
      <c r="A18" s="26"/>
      <c r="B18" s="26"/>
      <c r="C18" s="26" t="s">
        <v>189</v>
      </c>
      <c r="D18" s="55">
        <v>431945.61900000006</v>
      </c>
      <c r="E18" s="137">
        <f>D18</f>
        <v>431945.61900000006</v>
      </c>
      <c r="F18" s="55"/>
      <c r="G18" s="55"/>
      <c r="H18" s="124">
        <v>287963.74600000004</v>
      </c>
      <c r="I18" s="124">
        <v>335164.34999999998</v>
      </c>
      <c r="J18" s="87"/>
      <c r="K18" s="366">
        <f t="shared" si="3"/>
        <v>502746.52499999997</v>
      </c>
      <c r="M18" s="604">
        <f>K18</f>
        <v>502746.52499999997</v>
      </c>
      <c r="N18" s="421">
        <f>M18</f>
        <v>502746.52499999997</v>
      </c>
      <c r="O18" s="421"/>
      <c r="P18" s="421"/>
      <c r="R18" s="644">
        <f t="shared" si="2"/>
        <v>0.16391161962450623</v>
      </c>
    </row>
    <row r="19" spans="1:18" s="11" customFormat="1" ht="11.25" customHeight="1" outlineLevel="2">
      <c r="A19" s="26"/>
      <c r="B19" s="26"/>
      <c r="C19" s="26" t="s">
        <v>36</v>
      </c>
      <c r="D19" s="55">
        <v>34229.040000000001</v>
      </c>
      <c r="E19" s="137"/>
      <c r="F19" s="55">
        <f>D19</f>
        <v>34229.040000000001</v>
      </c>
      <c r="G19" s="76"/>
      <c r="H19" s="134">
        <v>22819.360000000001</v>
      </c>
      <c r="I19" s="134">
        <v>22510.77</v>
      </c>
      <c r="J19" s="87"/>
      <c r="K19" s="366">
        <f t="shared" si="3"/>
        <v>33766.154999999999</v>
      </c>
      <c r="M19" s="604">
        <f>K19</f>
        <v>33766.154999999999</v>
      </c>
      <c r="N19" s="421"/>
      <c r="O19" s="421">
        <f>M20</f>
        <v>8538.75</v>
      </c>
      <c r="P19" s="421"/>
      <c r="R19" s="644">
        <f t="shared" si="2"/>
        <v>-1.3523166293883849E-2</v>
      </c>
    </row>
    <row r="20" spans="1:18" s="11" customFormat="1" ht="11.25" customHeight="1" outlineLevel="2">
      <c r="A20" s="26"/>
      <c r="B20" s="26"/>
      <c r="C20" s="26" t="s">
        <v>131</v>
      </c>
      <c r="D20" s="55">
        <v>11160</v>
      </c>
      <c r="E20" s="137"/>
      <c r="F20" s="55"/>
      <c r="G20" s="76">
        <f>D20</f>
        <v>11160</v>
      </c>
      <c r="H20" s="124">
        <v>7440</v>
      </c>
      <c r="I20" s="124">
        <v>5692.5</v>
      </c>
      <c r="J20" s="87"/>
      <c r="K20" s="366">
        <f t="shared" si="3"/>
        <v>8538.75</v>
      </c>
      <c r="M20" s="604">
        <f>K20</f>
        <v>8538.75</v>
      </c>
      <c r="N20" s="421"/>
      <c r="O20" s="421"/>
      <c r="P20" s="421">
        <f>M20</f>
        <v>8538.75</v>
      </c>
      <c r="R20" s="644">
        <f t="shared" si="2"/>
        <v>-0.23487903225806453</v>
      </c>
    </row>
    <row r="21" spans="1:18" s="395" customFormat="1" ht="11.25" customHeight="1" outlineLevel="2">
      <c r="A21" s="435"/>
      <c r="B21" s="436" t="s">
        <v>198</v>
      </c>
      <c r="C21" s="319"/>
      <c r="D21" s="393">
        <v>22500</v>
      </c>
      <c r="E21" s="437"/>
      <c r="F21" s="438"/>
      <c r="G21" s="439"/>
      <c r="H21" s="396">
        <v>15000</v>
      </c>
      <c r="I21" s="396">
        <v>9166.84</v>
      </c>
      <c r="J21" s="302"/>
      <c r="K21" s="384">
        <f t="shared" si="3"/>
        <v>13750.26</v>
      </c>
      <c r="M21" s="606">
        <f>SUM(M22:M24)</f>
        <v>12000</v>
      </c>
      <c r="N21" s="377"/>
      <c r="O21" s="377"/>
      <c r="P21" s="377"/>
      <c r="R21" s="643">
        <f t="shared" si="2"/>
        <v>-0.46666666666666667</v>
      </c>
    </row>
    <row r="22" spans="1:18" s="26" customFormat="1" ht="12.75" customHeight="1" outlineLevel="2">
      <c r="C22" s="26" t="s">
        <v>167</v>
      </c>
      <c r="D22" s="55">
        <v>0</v>
      </c>
      <c r="E22" s="137">
        <f>D22</f>
        <v>0</v>
      </c>
      <c r="F22" s="59"/>
      <c r="G22" s="59"/>
      <c r="H22" s="124">
        <v>0</v>
      </c>
      <c r="I22" s="124">
        <v>0</v>
      </c>
      <c r="K22" s="366">
        <f t="shared" si="3"/>
        <v>0</v>
      </c>
      <c r="M22" s="604"/>
      <c r="N22" s="232"/>
      <c r="O22" s="232"/>
      <c r="P22" s="232"/>
      <c r="R22" s="644"/>
    </row>
    <row r="23" spans="1:18" s="9" customFormat="1" ht="14.25" customHeight="1" outlineLevel="1">
      <c r="A23" s="26"/>
      <c r="B23" s="132"/>
      <c r="C23" s="26" t="s">
        <v>133</v>
      </c>
      <c r="D23" s="134">
        <v>2500</v>
      </c>
      <c r="E23" s="134">
        <f>SUM(E24)</f>
        <v>0</v>
      </c>
      <c r="F23" s="134">
        <f>SUM(F24)</f>
        <v>0</v>
      </c>
      <c r="G23" s="134">
        <f>SUM(G24)</f>
        <v>0</v>
      </c>
      <c r="H23" s="124">
        <v>1666.6666666666667</v>
      </c>
      <c r="I23" s="124">
        <v>0</v>
      </c>
      <c r="J23" s="87"/>
      <c r="K23" s="366">
        <f t="shared" si="3"/>
        <v>0</v>
      </c>
      <c r="M23" s="604">
        <v>0</v>
      </c>
      <c r="N23" s="232"/>
      <c r="O23" s="232"/>
      <c r="P23" s="232"/>
      <c r="R23" s="644">
        <f t="shared" si="2"/>
        <v>-1</v>
      </c>
    </row>
    <row r="24" spans="1:18" s="11" customFormat="1" ht="11.25" customHeight="1" outlineLevel="2">
      <c r="A24" s="26"/>
      <c r="B24" s="132"/>
      <c r="C24" s="26" t="s">
        <v>134</v>
      </c>
      <c r="D24" s="55">
        <v>20000</v>
      </c>
      <c r="E24" s="137">
        <v>0</v>
      </c>
      <c r="F24" s="55"/>
      <c r="G24" s="76"/>
      <c r="H24" s="124">
        <v>13333.333333333334</v>
      </c>
      <c r="I24" s="124">
        <v>9166.84</v>
      </c>
      <c r="J24" s="87"/>
      <c r="K24" s="366">
        <f t="shared" si="3"/>
        <v>13750.26</v>
      </c>
      <c r="M24" s="607">
        <v>12000</v>
      </c>
      <c r="N24" s="232"/>
      <c r="O24" s="542"/>
      <c r="P24" s="232"/>
      <c r="R24" s="644">
        <f t="shared" si="2"/>
        <v>-0.4</v>
      </c>
    </row>
    <row r="25" spans="1:18" s="392" customFormat="1" ht="14.25" customHeight="1" outlineLevel="1">
      <c r="A25" s="316"/>
      <c r="B25" s="440" t="s">
        <v>43</v>
      </c>
      <c r="C25" s="316"/>
      <c r="D25" s="393">
        <v>0</v>
      </c>
      <c r="E25" s="393">
        <f>SUM(E26)</f>
        <v>0</v>
      </c>
      <c r="F25" s="393">
        <f>SUM(F26:F30)</f>
        <v>0</v>
      </c>
      <c r="G25" s="393">
        <f>SUM(G26:G30)</f>
        <v>0</v>
      </c>
      <c r="H25" s="396">
        <v>0</v>
      </c>
      <c r="I25" s="396">
        <v>0</v>
      </c>
      <c r="J25" s="302"/>
      <c r="K25" s="384">
        <f t="shared" si="3"/>
        <v>0</v>
      </c>
      <c r="M25" s="608">
        <v>0</v>
      </c>
      <c r="N25" s="377"/>
      <c r="O25" s="543"/>
      <c r="P25" s="377"/>
      <c r="R25" s="643"/>
    </row>
    <row r="26" spans="1:18" s="73" customFormat="1" ht="11" customHeight="1" outlineLevel="1">
      <c r="A26" s="26"/>
      <c r="B26" s="44"/>
      <c r="C26" s="26" t="s">
        <v>44</v>
      </c>
      <c r="D26" s="134">
        <v>0</v>
      </c>
      <c r="E26" s="142">
        <f>D26</f>
        <v>0</v>
      </c>
      <c r="F26" s="134"/>
      <c r="G26" s="143"/>
      <c r="H26" s="124">
        <v>0</v>
      </c>
      <c r="I26" s="124">
        <v>0</v>
      </c>
      <c r="J26" s="87"/>
      <c r="K26" s="366">
        <f t="shared" si="3"/>
        <v>0</v>
      </c>
      <c r="M26" s="607"/>
      <c r="N26" s="421"/>
      <c r="O26" s="210"/>
      <c r="P26" s="421"/>
      <c r="Q26" s="9"/>
      <c r="R26" s="644"/>
    </row>
    <row r="27" spans="1:18" s="392" customFormat="1" ht="11" customHeight="1" outlineLevel="1">
      <c r="A27" s="394"/>
      <c r="B27" s="394" t="s">
        <v>45</v>
      </c>
      <c r="C27" s="394"/>
      <c r="D27" s="393">
        <v>1600</v>
      </c>
      <c r="E27" s="426">
        <f>D27</f>
        <v>1600</v>
      </c>
      <c r="F27" s="431"/>
      <c r="G27" s="441"/>
      <c r="H27" s="396">
        <v>1066.6666666666667</v>
      </c>
      <c r="I27" s="396">
        <v>20138.54</v>
      </c>
      <c r="J27" s="374"/>
      <c r="K27" s="384">
        <f>SUM(K28:K30)</f>
        <v>12681.59</v>
      </c>
      <c r="M27" s="608">
        <f>SUM(M28:M30)</f>
        <v>3200</v>
      </c>
      <c r="N27" s="377">
        <f>M27</f>
        <v>3200</v>
      </c>
      <c r="O27" s="543"/>
      <c r="P27" s="377"/>
      <c r="R27" s="643">
        <f t="shared" si="2"/>
        <v>1</v>
      </c>
    </row>
    <row r="28" spans="1:18" s="73" customFormat="1" ht="11" customHeight="1" outlineLevel="1">
      <c r="A28" s="26"/>
      <c r="B28" s="26"/>
      <c r="C28" s="26" t="s">
        <v>190</v>
      </c>
      <c r="D28" s="134">
        <v>600</v>
      </c>
      <c r="E28" s="142">
        <f>D28</f>
        <v>600</v>
      </c>
      <c r="F28" s="134"/>
      <c r="G28" s="143"/>
      <c r="H28" s="124">
        <v>400</v>
      </c>
      <c r="I28" s="124">
        <v>521.58000000000004</v>
      </c>
      <c r="J28" s="87"/>
      <c r="K28" s="366">
        <f t="shared" si="3"/>
        <v>782.37000000000012</v>
      </c>
      <c r="M28" s="604">
        <v>700</v>
      </c>
      <c r="N28" s="421">
        <f t="shared" ref="N28:N30" si="6">M28</f>
        <v>700</v>
      </c>
      <c r="O28" s="232"/>
      <c r="P28" s="232"/>
      <c r="R28" s="644">
        <f t="shared" si="2"/>
        <v>0.16666666666666666</v>
      </c>
    </row>
    <row r="29" spans="1:18" s="73" customFormat="1" ht="11" customHeight="1" outlineLevel="1">
      <c r="A29" s="26"/>
      <c r="B29" s="26"/>
      <c r="C29" s="26" t="s">
        <v>168</v>
      </c>
      <c r="D29" s="134">
        <v>1000</v>
      </c>
      <c r="E29" s="142">
        <f>D29</f>
        <v>1000</v>
      </c>
      <c r="F29" s="134"/>
      <c r="G29" s="143"/>
      <c r="H29" s="124">
        <v>666.66666666666663</v>
      </c>
      <c r="I29" s="124">
        <v>1783.22</v>
      </c>
      <c r="J29" s="87"/>
      <c r="K29" s="366">
        <f t="shared" si="3"/>
        <v>2674.83</v>
      </c>
      <c r="M29" s="604">
        <v>2500</v>
      </c>
      <c r="N29" s="421">
        <f t="shared" si="6"/>
        <v>2500</v>
      </c>
      <c r="O29" s="232"/>
      <c r="P29" s="232"/>
      <c r="R29" s="644">
        <f t="shared" si="2"/>
        <v>1.5</v>
      </c>
    </row>
    <row r="30" spans="1:18" s="11" customFormat="1" ht="11" customHeight="1" outlineLevel="2">
      <c r="A30" s="26"/>
      <c r="B30" s="132"/>
      <c r="C30" s="26" t="s">
        <v>208</v>
      </c>
      <c r="D30" s="55">
        <v>0</v>
      </c>
      <c r="E30" s="137">
        <f>D30</f>
        <v>0</v>
      </c>
      <c r="F30" s="55"/>
      <c r="G30" s="76"/>
      <c r="H30" s="124">
        <v>0</v>
      </c>
      <c r="I30" s="422">
        <f>17833.74-8609.35</f>
        <v>9224.3900000000012</v>
      </c>
      <c r="J30" s="87"/>
      <c r="K30" s="366">
        <f>I30</f>
        <v>9224.3900000000012</v>
      </c>
      <c r="M30" s="604">
        <v>0</v>
      </c>
      <c r="N30" s="421">
        <f t="shared" si="6"/>
        <v>0</v>
      </c>
      <c r="O30" s="232"/>
      <c r="P30" s="232"/>
      <c r="R30" s="644"/>
    </row>
    <row r="31" spans="1:18" s="392" customFormat="1" ht="14.25" customHeight="1" outlineLevel="1">
      <c r="A31" s="394"/>
      <c r="B31" s="592" t="s">
        <v>48</v>
      </c>
      <c r="C31" s="394"/>
      <c r="D31" s="393">
        <v>100</v>
      </c>
      <c r="E31" s="393">
        <f>SUM(E32:E33)</f>
        <v>100</v>
      </c>
      <c r="F31" s="393">
        <f>SUM(F32:F33)</f>
        <v>0</v>
      </c>
      <c r="G31" s="393">
        <f>SUM(G32:G33)</f>
        <v>0</v>
      </c>
      <c r="H31" s="396">
        <v>66.666666666666671</v>
      </c>
      <c r="I31" s="396">
        <v>756.32</v>
      </c>
      <c r="J31" s="302"/>
      <c r="K31" s="384">
        <f t="shared" si="3"/>
        <v>1134.48</v>
      </c>
      <c r="M31" s="606">
        <v>800</v>
      </c>
      <c r="N31" s="377">
        <f>M31</f>
        <v>800</v>
      </c>
      <c r="O31" s="377"/>
      <c r="P31" s="377"/>
      <c r="R31" s="643">
        <f t="shared" si="2"/>
        <v>7</v>
      </c>
    </row>
    <row r="32" spans="1:18" s="11" customFormat="1" ht="11.25" customHeight="1" outlineLevel="2">
      <c r="A32" s="26"/>
      <c r="B32" s="26"/>
      <c r="C32" s="26" t="s">
        <v>135</v>
      </c>
      <c r="D32" s="55">
        <v>0</v>
      </c>
      <c r="E32" s="137">
        <f>D32</f>
        <v>0</v>
      </c>
      <c r="F32" s="55"/>
      <c r="G32" s="76"/>
      <c r="H32" s="124">
        <v>0</v>
      </c>
      <c r="I32" s="124">
        <v>698.69</v>
      </c>
      <c r="J32" s="87"/>
      <c r="K32" s="366">
        <f t="shared" si="3"/>
        <v>1048.0350000000001</v>
      </c>
      <c r="M32" s="604">
        <v>800</v>
      </c>
      <c r="N32" s="421">
        <f>M32</f>
        <v>800</v>
      </c>
      <c r="O32" s="232"/>
      <c r="P32" s="232"/>
      <c r="R32" s="644"/>
    </row>
    <row r="33" spans="1:19" s="11" customFormat="1" ht="11.25" customHeight="1" outlineLevel="2">
      <c r="A33" s="26"/>
      <c r="B33" s="26"/>
      <c r="C33" s="26" t="s">
        <v>136</v>
      </c>
      <c r="D33" s="55">
        <v>100</v>
      </c>
      <c r="E33" s="137">
        <f>D33</f>
        <v>100</v>
      </c>
      <c r="F33" s="55"/>
      <c r="G33" s="76"/>
      <c r="H33" s="124">
        <v>66.666666666666671</v>
      </c>
      <c r="I33" s="124">
        <v>57.63</v>
      </c>
      <c r="J33" s="87"/>
      <c r="K33" s="366">
        <f t="shared" si="3"/>
        <v>86.445000000000007</v>
      </c>
      <c r="M33" s="604">
        <v>0</v>
      </c>
      <c r="N33" s="232"/>
      <c r="O33" s="232"/>
      <c r="P33" s="232"/>
      <c r="R33" s="644">
        <f t="shared" si="2"/>
        <v>-1</v>
      </c>
    </row>
    <row r="34" spans="1:19" s="443" customFormat="1" ht="21" customHeight="1">
      <c r="A34" s="302" t="s">
        <v>10</v>
      </c>
      <c r="B34" s="302"/>
      <c r="C34" s="302"/>
      <c r="D34" s="384">
        <v>1344548.62</v>
      </c>
      <c r="E34" s="384">
        <f>E35+E40+E65+E76+E78+E74</f>
        <v>1224104.7304</v>
      </c>
      <c r="F34" s="384">
        <f>F35+F40+F65+F76+F78+F74</f>
        <v>66527.431000000011</v>
      </c>
      <c r="G34" s="384">
        <f>G35+G40+G65+G76+G78+G74</f>
        <v>39916.458599999998</v>
      </c>
      <c r="H34" s="377">
        <v>896365.7466666667</v>
      </c>
      <c r="I34" s="377">
        <v>843068.79000000015</v>
      </c>
      <c r="J34" s="374"/>
      <c r="K34" s="384">
        <f t="shared" si="3"/>
        <v>1264603.1850000003</v>
      </c>
      <c r="M34" s="609">
        <f>M35+M40+M65+M75+M77+M79</f>
        <v>1404371.1429376001</v>
      </c>
      <c r="N34" s="377">
        <f t="shared" ref="N34" si="7">M34*N25</f>
        <v>0</v>
      </c>
      <c r="O34" s="377">
        <f t="shared" ref="O34:O70" si="8">N34*O33</f>
        <v>0</v>
      </c>
      <c r="P34" s="377">
        <f t="shared" ref="P34:P70" si="9">O34*P33</f>
        <v>0</v>
      </c>
      <c r="R34" s="643">
        <f t="shared" si="2"/>
        <v>4.4492643886392173E-2</v>
      </c>
    </row>
    <row r="35" spans="1:19" s="399" customFormat="1" ht="14.25" customHeight="1" outlineLevel="1">
      <c r="A35" s="394"/>
      <c r="B35" s="394" t="s">
        <v>201</v>
      </c>
      <c r="C35" s="394"/>
      <c r="D35" s="393">
        <v>180800</v>
      </c>
      <c r="E35" s="393">
        <f t="shared" ref="E35:G35" si="10">SUM(E36:E39)</f>
        <v>166336</v>
      </c>
      <c r="F35" s="393">
        <f t="shared" si="10"/>
        <v>9040</v>
      </c>
      <c r="G35" s="393">
        <f t="shared" si="10"/>
        <v>5424</v>
      </c>
      <c r="H35" s="396">
        <v>120533.33333333333</v>
      </c>
      <c r="I35" s="396">
        <v>125671.69</v>
      </c>
      <c r="J35" s="302"/>
      <c r="K35" s="384">
        <f t="shared" si="3"/>
        <v>188507.535</v>
      </c>
      <c r="M35" s="606">
        <f>SUM(M36:M39)</f>
        <v>193000</v>
      </c>
      <c r="N35" s="377">
        <f t="shared" ref="N35" si="11">M35*N30</f>
        <v>0</v>
      </c>
      <c r="O35" s="377">
        <f t="shared" si="8"/>
        <v>0</v>
      </c>
      <c r="P35" s="377">
        <f t="shared" si="9"/>
        <v>0</v>
      </c>
      <c r="R35" s="643">
        <f t="shared" si="2"/>
        <v>6.7477876106194684E-2</v>
      </c>
    </row>
    <row r="36" spans="1:19" s="11" customFormat="1" ht="11.25" customHeight="1" outlineLevel="2">
      <c r="A36" s="26"/>
      <c r="B36" s="26"/>
      <c r="C36" s="26" t="s">
        <v>51</v>
      </c>
      <c r="D36" s="126">
        <v>123000</v>
      </c>
      <c r="E36" s="137">
        <f>D36*92%</f>
        <v>113160</v>
      </c>
      <c r="F36" s="55">
        <f>D36*5%</f>
        <v>6150</v>
      </c>
      <c r="G36" s="76">
        <f>D36*3%</f>
        <v>3690</v>
      </c>
      <c r="H36" s="124">
        <v>82000</v>
      </c>
      <c r="I36" s="124">
        <v>84295.7</v>
      </c>
      <c r="J36" s="87"/>
      <c r="K36" s="366">
        <f t="shared" si="3"/>
        <v>126443.54999999999</v>
      </c>
      <c r="M36" s="604">
        <v>128000</v>
      </c>
      <c r="N36" s="232">
        <f t="shared" ref="N36" si="12">M36*N30</f>
        <v>0</v>
      </c>
      <c r="O36" s="232">
        <f t="shared" si="8"/>
        <v>0</v>
      </c>
      <c r="P36" s="232">
        <f t="shared" si="9"/>
        <v>0</v>
      </c>
      <c r="R36" s="644">
        <f t="shared" si="2"/>
        <v>4.065040650406504E-2</v>
      </c>
    </row>
    <row r="37" spans="1:19" s="11" customFormat="1" ht="11.25" customHeight="1" outlineLevel="2">
      <c r="A37" s="26"/>
      <c r="B37" s="26"/>
      <c r="C37" s="26" t="s">
        <v>148</v>
      </c>
      <c r="D37" s="55">
        <v>7800</v>
      </c>
      <c r="E37" s="137">
        <f t="shared" ref="E37:E73" si="13">D37*92%</f>
        <v>7176</v>
      </c>
      <c r="F37" s="55">
        <f>D37*5%</f>
        <v>390</v>
      </c>
      <c r="G37" s="76">
        <f>D37*3%</f>
        <v>234</v>
      </c>
      <c r="H37" s="124">
        <v>5200</v>
      </c>
      <c r="I37" s="124">
        <v>4412.8900000000003</v>
      </c>
      <c r="J37" s="87"/>
      <c r="K37" s="366">
        <f t="shared" si="3"/>
        <v>6619.3350000000009</v>
      </c>
      <c r="M37" s="604">
        <v>7000</v>
      </c>
      <c r="N37" s="232">
        <f t="shared" ref="N37" si="14">M37*N30</f>
        <v>0</v>
      </c>
      <c r="O37" s="232">
        <f t="shared" si="8"/>
        <v>0</v>
      </c>
      <c r="P37" s="232">
        <f t="shared" si="9"/>
        <v>0</v>
      </c>
      <c r="R37" s="644">
        <f t="shared" si="2"/>
        <v>-0.10256410256410256</v>
      </c>
    </row>
    <row r="38" spans="1:19" s="11" customFormat="1" ht="11.25" customHeight="1" outlineLevel="2">
      <c r="A38" s="26"/>
      <c r="B38" s="26"/>
      <c r="C38" s="26" t="s">
        <v>137</v>
      </c>
      <c r="D38" s="126">
        <v>36000</v>
      </c>
      <c r="E38" s="137">
        <f t="shared" si="13"/>
        <v>33120</v>
      </c>
      <c r="F38" s="55">
        <f>D38*5%</f>
        <v>1800</v>
      </c>
      <c r="G38" s="76">
        <f>D38*3%</f>
        <v>1080</v>
      </c>
      <c r="H38" s="124">
        <v>24000</v>
      </c>
      <c r="I38" s="124">
        <v>22616.799999999999</v>
      </c>
      <c r="J38" s="87"/>
      <c r="K38" s="366">
        <f t="shared" si="3"/>
        <v>33925.199999999997</v>
      </c>
      <c r="M38" s="604">
        <v>35000</v>
      </c>
      <c r="N38" s="232">
        <f t="shared" ref="N38:N70" si="15">M38*N37</f>
        <v>0</v>
      </c>
      <c r="O38" s="232">
        <f t="shared" si="8"/>
        <v>0</v>
      </c>
      <c r="P38" s="232">
        <f t="shared" si="9"/>
        <v>0</v>
      </c>
      <c r="R38" s="644">
        <f t="shared" si="2"/>
        <v>-2.7777777777777776E-2</v>
      </c>
    </row>
    <row r="39" spans="1:19" s="11" customFormat="1" ht="11.25" customHeight="1" outlineLevel="2">
      <c r="A39" s="26"/>
      <c r="B39" s="26"/>
      <c r="C39" s="26" t="s">
        <v>54</v>
      </c>
      <c r="D39" s="126">
        <v>14000</v>
      </c>
      <c r="E39" s="137">
        <f t="shared" si="13"/>
        <v>12880</v>
      </c>
      <c r="F39" s="55">
        <f>D39*5%</f>
        <v>700</v>
      </c>
      <c r="G39" s="76">
        <f>D39*3%</f>
        <v>420</v>
      </c>
      <c r="H39" s="124">
        <v>9333.3333333333339</v>
      </c>
      <c r="I39" s="124">
        <v>14346.3</v>
      </c>
      <c r="J39" s="87"/>
      <c r="K39" s="366">
        <f t="shared" si="3"/>
        <v>21519.449999999997</v>
      </c>
      <c r="M39" s="604">
        <v>23000</v>
      </c>
      <c r="N39" s="232">
        <f t="shared" si="15"/>
        <v>0</v>
      </c>
      <c r="O39" s="232">
        <f t="shared" si="8"/>
        <v>0</v>
      </c>
      <c r="P39" s="232">
        <f t="shared" si="9"/>
        <v>0</v>
      </c>
      <c r="R39" s="644">
        <f t="shared" si="2"/>
        <v>0.6428571428571429</v>
      </c>
    </row>
    <row r="40" spans="1:19" s="392" customFormat="1" ht="14.25" customHeight="1" outlineLevel="1">
      <c r="A40" s="394"/>
      <c r="B40" s="302" t="s">
        <v>12</v>
      </c>
      <c r="C40" s="394"/>
      <c r="D40" s="393">
        <v>198040</v>
      </c>
      <c r="E40" s="393">
        <f>SUM(E41:E64)</f>
        <v>169592.8</v>
      </c>
      <c r="F40" s="393">
        <f>SUM(F41:F64)</f>
        <v>9217</v>
      </c>
      <c r="G40" s="393">
        <f>SUM(G41:G64)</f>
        <v>5530.2</v>
      </c>
      <c r="H40" s="396">
        <v>132026.66666666666</v>
      </c>
      <c r="I40" s="396">
        <v>155478.57</v>
      </c>
      <c r="J40" s="374"/>
      <c r="K40" s="384">
        <f t="shared" si="3"/>
        <v>233217.85500000001</v>
      </c>
      <c r="L40" s="444"/>
      <c r="M40" s="606">
        <f>SUM(M41:M64)</f>
        <v>208550</v>
      </c>
      <c r="N40" s="377">
        <f t="shared" si="15"/>
        <v>0</v>
      </c>
      <c r="O40" s="377">
        <f t="shared" si="8"/>
        <v>0</v>
      </c>
      <c r="P40" s="377">
        <f t="shared" si="9"/>
        <v>0</v>
      </c>
      <c r="R40" s="643">
        <f t="shared" si="2"/>
        <v>5.3070086851141181E-2</v>
      </c>
    </row>
    <row r="41" spans="1:19" s="11" customFormat="1" ht="11.25" customHeight="1" outlineLevel="2">
      <c r="A41" s="26"/>
      <c r="B41" s="26"/>
      <c r="C41" s="26" t="s">
        <v>109</v>
      </c>
      <c r="D41" s="55">
        <v>0</v>
      </c>
      <c r="E41" s="137">
        <f t="shared" si="13"/>
        <v>0</v>
      </c>
      <c r="F41" s="55">
        <f>D41*5%</f>
        <v>0</v>
      </c>
      <c r="G41" s="76">
        <f>D41*3%</f>
        <v>0</v>
      </c>
      <c r="H41" s="124">
        <v>0</v>
      </c>
      <c r="I41" s="422">
        <f>17254.9+1845+1764</f>
        <v>20863.900000000001</v>
      </c>
      <c r="J41" s="589"/>
      <c r="K41" s="190">
        <f>I41/8*12</f>
        <v>31295.850000000002</v>
      </c>
      <c r="L41" s="590"/>
      <c r="M41" s="610">
        <f>2200*12</f>
        <v>26400</v>
      </c>
      <c r="N41" s="232">
        <f t="shared" si="15"/>
        <v>0</v>
      </c>
      <c r="O41" s="232">
        <f t="shared" si="8"/>
        <v>0</v>
      </c>
      <c r="P41" s="232">
        <f t="shared" si="9"/>
        <v>0</v>
      </c>
      <c r="R41" s="644"/>
      <c r="S41" s="590" t="s">
        <v>244</v>
      </c>
    </row>
    <row r="42" spans="1:19" s="11" customFormat="1" ht="11.25" customHeight="1" outlineLevel="2">
      <c r="A42" s="26"/>
      <c r="B42" s="26"/>
      <c r="C42" s="26" t="s">
        <v>56</v>
      </c>
      <c r="D42" s="55">
        <v>1000</v>
      </c>
      <c r="E42" s="137">
        <f t="shared" si="13"/>
        <v>920</v>
      </c>
      <c r="F42" s="55">
        <f t="shared" ref="F42:F63" si="16">D42*5%</f>
        <v>50</v>
      </c>
      <c r="G42" s="76">
        <f t="shared" ref="G42:G63" si="17">D42*3%</f>
        <v>30</v>
      </c>
      <c r="H42" s="124">
        <v>666.66666666666663</v>
      </c>
      <c r="I42" s="124"/>
      <c r="J42" s="87"/>
      <c r="K42" s="366">
        <f t="shared" si="3"/>
        <v>0</v>
      </c>
      <c r="M42" s="604">
        <v>0</v>
      </c>
      <c r="N42" s="232">
        <f t="shared" si="15"/>
        <v>0</v>
      </c>
      <c r="O42" s="232">
        <f t="shared" si="8"/>
        <v>0</v>
      </c>
      <c r="P42" s="232">
        <f t="shared" si="9"/>
        <v>0</v>
      </c>
      <c r="R42" s="644">
        <f t="shared" si="2"/>
        <v>-1</v>
      </c>
    </row>
    <row r="43" spans="1:19" s="11" customFormat="1" ht="11.25" customHeight="1" outlineLevel="2">
      <c r="A43" s="26"/>
      <c r="B43" s="26"/>
      <c r="C43" s="591" t="s">
        <v>150</v>
      </c>
      <c r="D43" s="126">
        <v>900</v>
      </c>
      <c r="E43" s="524">
        <f t="shared" si="13"/>
        <v>828</v>
      </c>
      <c r="F43" s="126">
        <f t="shared" si="16"/>
        <v>45</v>
      </c>
      <c r="G43" s="477">
        <f t="shared" si="17"/>
        <v>27</v>
      </c>
      <c r="H43" s="422">
        <v>600</v>
      </c>
      <c r="I43" s="422"/>
      <c r="J43" s="589"/>
      <c r="K43" s="190">
        <f t="shared" si="3"/>
        <v>0</v>
      </c>
      <c r="M43" s="604">
        <v>900</v>
      </c>
      <c r="N43" s="232">
        <f t="shared" si="15"/>
        <v>0</v>
      </c>
      <c r="O43" s="232">
        <f t="shared" si="8"/>
        <v>0</v>
      </c>
      <c r="P43" s="232">
        <f t="shared" si="9"/>
        <v>0</v>
      </c>
      <c r="R43" s="644">
        <f t="shared" si="2"/>
        <v>0</v>
      </c>
    </row>
    <row r="44" spans="1:19" s="11" customFormat="1" ht="11.25" customHeight="1" outlineLevel="2">
      <c r="A44" s="26"/>
      <c r="B44" s="26"/>
      <c r="C44" s="26" t="s">
        <v>58</v>
      </c>
      <c r="D44" s="55">
        <v>0</v>
      </c>
      <c r="E44" s="137">
        <f t="shared" si="13"/>
        <v>0</v>
      </c>
      <c r="F44" s="55">
        <f t="shared" si="16"/>
        <v>0</v>
      </c>
      <c r="G44" s="76">
        <f t="shared" si="17"/>
        <v>0</v>
      </c>
      <c r="H44" s="138">
        <v>0</v>
      </c>
      <c r="I44" s="348">
        <f>4971+6500+350</f>
        <v>11821</v>
      </c>
      <c r="J44" s="87"/>
      <c r="K44" s="366">
        <f t="shared" si="3"/>
        <v>17731.5</v>
      </c>
      <c r="M44" s="604">
        <v>19000</v>
      </c>
      <c r="N44" s="232">
        <f t="shared" si="15"/>
        <v>0</v>
      </c>
      <c r="O44" s="232">
        <f t="shared" si="8"/>
        <v>0</v>
      </c>
      <c r="P44" s="232">
        <f t="shared" si="9"/>
        <v>0</v>
      </c>
      <c r="R44" s="644"/>
    </row>
    <row r="45" spans="1:19" s="11" customFormat="1" ht="11.25" customHeight="1" outlineLevel="2">
      <c r="A45" s="26"/>
      <c r="B45" s="26"/>
      <c r="C45" s="26" t="s">
        <v>59</v>
      </c>
      <c r="D45" s="126">
        <v>30000</v>
      </c>
      <c r="E45" s="137">
        <f t="shared" si="13"/>
        <v>27600</v>
      </c>
      <c r="F45" s="55">
        <f t="shared" si="16"/>
        <v>1500</v>
      </c>
      <c r="G45" s="76">
        <f t="shared" si="17"/>
        <v>900</v>
      </c>
      <c r="H45" s="124">
        <v>20000</v>
      </c>
      <c r="I45" s="124">
        <v>44845.86</v>
      </c>
      <c r="J45" s="87"/>
      <c r="K45" s="366">
        <f t="shared" si="3"/>
        <v>67268.790000000008</v>
      </c>
      <c r="M45" s="604">
        <v>50000</v>
      </c>
      <c r="N45" s="232">
        <f t="shared" si="15"/>
        <v>0</v>
      </c>
      <c r="O45" s="232">
        <f t="shared" si="8"/>
        <v>0</v>
      </c>
      <c r="P45" s="232">
        <f t="shared" si="9"/>
        <v>0</v>
      </c>
      <c r="R45" s="644">
        <f t="shared" si="2"/>
        <v>0.66666666666666663</v>
      </c>
    </row>
    <row r="46" spans="1:19" s="11" customFormat="1" ht="11.25" customHeight="1" outlineLevel="2">
      <c r="A46" s="26"/>
      <c r="B46" s="26"/>
      <c r="C46" s="26" t="s">
        <v>60</v>
      </c>
      <c r="D46" s="55">
        <v>150</v>
      </c>
      <c r="E46" s="137">
        <f t="shared" si="13"/>
        <v>138</v>
      </c>
      <c r="F46" s="55">
        <f t="shared" si="16"/>
        <v>7.5</v>
      </c>
      <c r="G46" s="76">
        <f t="shared" si="17"/>
        <v>4.5</v>
      </c>
      <c r="H46" s="124">
        <v>100</v>
      </c>
      <c r="I46" s="124">
        <v>64</v>
      </c>
      <c r="J46" s="87"/>
      <c r="K46" s="366">
        <f t="shared" si="3"/>
        <v>96</v>
      </c>
      <c r="M46" s="604">
        <v>150</v>
      </c>
      <c r="N46" s="232">
        <f t="shared" si="15"/>
        <v>0</v>
      </c>
      <c r="O46" s="232">
        <f t="shared" si="8"/>
        <v>0</v>
      </c>
      <c r="P46" s="232">
        <f t="shared" si="9"/>
        <v>0</v>
      </c>
      <c r="R46" s="644">
        <f t="shared" si="2"/>
        <v>0</v>
      </c>
    </row>
    <row r="47" spans="1:19" s="11" customFormat="1" ht="11.25" customHeight="1" outlineLevel="2">
      <c r="A47" s="26"/>
      <c r="B47" s="26"/>
      <c r="C47" s="26" t="s">
        <v>61</v>
      </c>
      <c r="D47" s="55"/>
      <c r="E47" s="137"/>
      <c r="F47" s="55"/>
      <c r="G47" s="76"/>
      <c r="H47" s="124">
        <v>0</v>
      </c>
      <c r="I47" s="124"/>
      <c r="J47" s="87"/>
      <c r="K47" s="366">
        <f t="shared" si="3"/>
        <v>0</v>
      </c>
      <c r="M47" s="604"/>
      <c r="N47" s="232">
        <f t="shared" si="15"/>
        <v>0</v>
      </c>
      <c r="O47" s="232">
        <f t="shared" si="8"/>
        <v>0</v>
      </c>
      <c r="P47" s="232">
        <f t="shared" si="9"/>
        <v>0</v>
      </c>
      <c r="R47" s="644"/>
    </row>
    <row r="48" spans="1:19" s="11" customFormat="1" ht="11.25" customHeight="1" outlineLevel="2">
      <c r="A48" s="26"/>
      <c r="B48" s="26"/>
      <c r="C48" s="26" t="s">
        <v>62</v>
      </c>
      <c r="D48" s="126">
        <v>6000</v>
      </c>
      <c r="E48" s="137">
        <f t="shared" si="13"/>
        <v>5520</v>
      </c>
      <c r="F48" s="55">
        <f t="shared" si="16"/>
        <v>300</v>
      </c>
      <c r="G48" s="76">
        <f t="shared" si="17"/>
        <v>180</v>
      </c>
      <c r="H48" s="124">
        <v>4000</v>
      </c>
      <c r="I48" s="124">
        <v>6148.55</v>
      </c>
      <c r="J48" s="87"/>
      <c r="K48" s="366">
        <f t="shared" si="3"/>
        <v>9222.8250000000007</v>
      </c>
      <c r="M48" s="604">
        <v>7500</v>
      </c>
      <c r="N48" s="232">
        <f t="shared" si="15"/>
        <v>0</v>
      </c>
      <c r="O48" s="232">
        <f t="shared" si="8"/>
        <v>0</v>
      </c>
      <c r="P48" s="232">
        <f t="shared" si="9"/>
        <v>0</v>
      </c>
      <c r="R48" s="644">
        <f t="shared" si="2"/>
        <v>0.25</v>
      </c>
    </row>
    <row r="49" spans="1:19" s="11" customFormat="1" ht="11.25" customHeight="1" outlineLevel="2">
      <c r="A49" s="26"/>
      <c r="B49" s="26"/>
      <c r="C49" s="26" t="s">
        <v>63</v>
      </c>
      <c r="D49" s="55">
        <v>50</v>
      </c>
      <c r="E49" s="137">
        <f t="shared" si="13"/>
        <v>46</v>
      </c>
      <c r="F49" s="55">
        <f t="shared" si="16"/>
        <v>2.5</v>
      </c>
      <c r="G49" s="76">
        <f t="shared" si="17"/>
        <v>1.5</v>
      </c>
      <c r="H49" s="124">
        <v>33.333333333333336</v>
      </c>
      <c r="I49" s="124"/>
      <c r="J49" s="87"/>
      <c r="K49" s="366">
        <f t="shared" si="3"/>
        <v>0</v>
      </c>
      <c r="M49" s="604">
        <v>0</v>
      </c>
      <c r="N49" s="232">
        <f t="shared" si="15"/>
        <v>0</v>
      </c>
      <c r="O49" s="232">
        <f t="shared" si="8"/>
        <v>0</v>
      </c>
      <c r="P49" s="232">
        <f t="shared" si="9"/>
        <v>0</v>
      </c>
      <c r="R49" s="644">
        <f t="shared" si="2"/>
        <v>-1</v>
      </c>
    </row>
    <row r="50" spans="1:19" s="11" customFormat="1" ht="11.25" customHeight="1" outlineLevel="2">
      <c r="A50" s="26"/>
      <c r="B50" s="26"/>
      <c r="C50" s="26" t="s">
        <v>64</v>
      </c>
      <c r="D50" s="55">
        <v>1000</v>
      </c>
      <c r="E50" s="137">
        <f t="shared" si="13"/>
        <v>920</v>
      </c>
      <c r="F50" s="55">
        <f t="shared" si="16"/>
        <v>50</v>
      </c>
      <c r="G50" s="76">
        <f t="shared" si="17"/>
        <v>30</v>
      </c>
      <c r="H50" s="124">
        <v>666.66666666666663</v>
      </c>
      <c r="I50" s="124">
        <v>1171</v>
      </c>
      <c r="J50" s="87"/>
      <c r="K50" s="366">
        <f t="shared" si="3"/>
        <v>1756.5</v>
      </c>
      <c r="M50" s="604">
        <v>1500</v>
      </c>
      <c r="N50" s="232">
        <f t="shared" si="15"/>
        <v>0</v>
      </c>
      <c r="O50" s="232">
        <f t="shared" si="8"/>
        <v>0</v>
      </c>
      <c r="P50" s="232">
        <f t="shared" si="9"/>
        <v>0</v>
      </c>
      <c r="R50" s="644">
        <f t="shared" si="2"/>
        <v>0.5</v>
      </c>
    </row>
    <row r="51" spans="1:19" s="11" customFormat="1" ht="11.25" customHeight="1" outlineLevel="2">
      <c r="A51" s="26"/>
      <c r="B51" s="26"/>
      <c r="C51" s="26" t="s">
        <v>65</v>
      </c>
      <c r="D51" s="55">
        <v>200</v>
      </c>
      <c r="E51" s="137">
        <f t="shared" si="13"/>
        <v>184</v>
      </c>
      <c r="F51" s="55">
        <f t="shared" si="16"/>
        <v>10</v>
      </c>
      <c r="G51" s="76">
        <f t="shared" si="17"/>
        <v>6</v>
      </c>
      <c r="H51" s="124">
        <v>133.33333333333334</v>
      </c>
      <c r="I51" s="124"/>
      <c r="J51" s="87"/>
      <c r="K51" s="366">
        <f t="shared" si="3"/>
        <v>0</v>
      </c>
      <c r="M51" s="604">
        <v>500</v>
      </c>
      <c r="N51" s="232">
        <f t="shared" si="15"/>
        <v>0</v>
      </c>
      <c r="O51" s="232">
        <f t="shared" si="8"/>
        <v>0</v>
      </c>
      <c r="P51" s="232">
        <f t="shared" si="9"/>
        <v>0</v>
      </c>
      <c r="R51" s="644">
        <f t="shared" si="2"/>
        <v>1.5</v>
      </c>
    </row>
    <row r="52" spans="1:19" s="11" customFormat="1" ht="11.25" customHeight="1" outlineLevel="2">
      <c r="A52" s="26"/>
      <c r="B52" s="26"/>
      <c r="C52" s="26" t="s">
        <v>66</v>
      </c>
      <c r="D52" s="126">
        <v>33000</v>
      </c>
      <c r="E52" s="137">
        <f t="shared" si="13"/>
        <v>30360</v>
      </c>
      <c r="F52" s="55">
        <f t="shared" si="16"/>
        <v>1650</v>
      </c>
      <c r="G52" s="76">
        <f t="shared" si="17"/>
        <v>990</v>
      </c>
      <c r="H52" s="124">
        <v>22000</v>
      </c>
      <c r="I52" s="124">
        <v>23819.03</v>
      </c>
      <c r="J52" s="87"/>
      <c r="K52" s="366">
        <f t="shared" si="3"/>
        <v>35728.544999999998</v>
      </c>
      <c r="M52" s="604">
        <v>35000</v>
      </c>
      <c r="N52" s="232">
        <f t="shared" si="15"/>
        <v>0</v>
      </c>
      <c r="O52" s="232">
        <f t="shared" si="8"/>
        <v>0</v>
      </c>
      <c r="P52" s="232">
        <f t="shared" si="9"/>
        <v>0</v>
      </c>
      <c r="R52" s="644">
        <f t="shared" si="2"/>
        <v>6.0606060606060608E-2</v>
      </c>
    </row>
    <row r="53" spans="1:19" s="11" customFormat="1" ht="11.25" customHeight="1" outlineLevel="2">
      <c r="A53" s="26"/>
      <c r="B53" s="26"/>
      <c r="C53" s="26" t="s">
        <v>67</v>
      </c>
      <c r="D53" s="55">
        <v>5000</v>
      </c>
      <c r="E53" s="137">
        <f t="shared" si="13"/>
        <v>4600</v>
      </c>
      <c r="F53" s="55">
        <f t="shared" si="16"/>
        <v>250</v>
      </c>
      <c r="G53" s="76">
        <f t="shared" si="17"/>
        <v>150</v>
      </c>
      <c r="H53" s="348">
        <v>3333.3333333333335</v>
      </c>
      <c r="I53" s="348">
        <v>2903.22</v>
      </c>
      <c r="J53" s="87"/>
      <c r="K53" s="366">
        <f t="shared" si="3"/>
        <v>4354.83</v>
      </c>
      <c r="M53" s="604">
        <v>5000</v>
      </c>
      <c r="N53" s="232">
        <f t="shared" si="15"/>
        <v>0</v>
      </c>
      <c r="O53" s="232">
        <f t="shared" si="8"/>
        <v>0</v>
      </c>
      <c r="P53" s="232">
        <f t="shared" si="9"/>
        <v>0</v>
      </c>
      <c r="R53" s="644">
        <f t="shared" si="2"/>
        <v>0</v>
      </c>
    </row>
    <row r="54" spans="1:19" s="11" customFormat="1" ht="11.25" customHeight="1" outlineLevel="2">
      <c r="A54" s="26"/>
      <c r="B54" s="26"/>
      <c r="C54" s="26" t="s">
        <v>68</v>
      </c>
      <c r="D54" s="126">
        <v>7500</v>
      </c>
      <c r="E54" s="137">
        <f t="shared" si="13"/>
        <v>6900</v>
      </c>
      <c r="F54" s="55">
        <f t="shared" si="16"/>
        <v>375</v>
      </c>
      <c r="G54" s="76">
        <f t="shared" si="17"/>
        <v>225</v>
      </c>
      <c r="H54" s="124">
        <v>5000</v>
      </c>
      <c r="I54" s="124">
        <v>7462.27</v>
      </c>
      <c r="J54" s="87"/>
      <c r="K54" s="366">
        <f t="shared" si="3"/>
        <v>11193.405000000001</v>
      </c>
      <c r="M54" s="604">
        <v>10000</v>
      </c>
      <c r="N54" s="232">
        <f t="shared" si="15"/>
        <v>0</v>
      </c>
      <c r="O54" s="232">
        <f t="shared" si="8"/>
        <v>0</v>
      </c>
      <c r="P54" s="232">
        <f t="shared" si="9"/>
        <v>0</v>
      </c>
      <c r="R54" s="644">
        <f t="shared" si="2"/>
        <v>0.33333333333333331</v>
      </c>
    </row>
    <row r="55" spans="1:19" s="11" customFormat="1" ht="11.25" customHeight="1" outlineLevel="2">
      <c r="A55" s="26"/>
      <c r="B55" s="26"/>
      <c r="C55" s="26" t="s">
        <v>69</v>
      </c>
      <c r="D55" s="126">
        <v>33000</v>
      </c>
      <c r="E55" s="137">
        <f t="shared" si="13"/>
        <v>30360</v>
      </c>
      <c r="F55" s="55">
        <f t="shared" si="16"/>
        <v>1650</v>
      </c>
      <c r="G55" s="76">
        <f t="shared" si="17"/>
        <v>990</v>
      </c>
      <c r="H55" s="348">
        <v>22000</v>
      </c>
      <c r="I55" s="348">
        <v>20352.16</v>
      </c>
      <c r="J55" s="87"/>
      <c r="K55" s="366">
        <f t="shared" si="3"/>
        <v>30528.239999999998</v>
      </c>
      <c r="M55" s="604">
        <v>33000</v>
      </c>
      <c r="N55" s="232">
        <f t="shared" si="15"/>
        <v>0</v>
      </c>
      <c r="O55" s="232">
        <f t="shared" si="8"/>
        <v>0</v>
      </c>
      <c r="P55" s="232">
        <f t="shared" si="9"/>
        <v>0</v>
      </c>
      <c r="R55" s="644">
        <f t="shared" si="2"/>
        <v>0</v>
      </c>
    </row>
    <row r="56" spans="1:19" s="11" customFormat="1" ht="11.25" customHeight="1" outlineLevel="2">
      <c r="A56" s="26"/>
      <c r="B56" s="26"/>
      <c r="C56" s="591" t="s">
        <v>191</v>
      </c>
      <c r="D56" s="126">
        <v>1740</v>
      </c>
      <c r="E56" s="524">
        <f t="shared" si="13"/>
        <v>1600.8000000000002</v>
      </c>
      <c r="F56" s="126">
        <f t="shared" si="16"/>
        <v>87</v>
      </c>
      <c r="G56" s="477">
        <f t="shared" si="17"/>
        <v>52.199999999999996</v>
      </c>
      <c r="H56" s="422">
        <v>1160</v>
      </c>
      <c r="I56" s="422">
        <f>1123.29+400</f>
        <v>1523.29</v>
      </c>
      <c r="J56" s="589"/>
      <c r="K56" s="190">
        <f t="shared" si="3"/>
        <v>2284.9349999999999</v>
      </c>
      <c r="L56" s="544"/>
      <c r="M56" s="610">
        <v>2000</v>
      </c>
      <c r="N56" s="232">
        <f t="shared" si="15"/>
        <v>0</v>
      </c>
      <c r="O56" s="232">
        <f t="shared" si="8"/>
        <v>0</v>
      </c>
      <c r="P56" s="232">
        <f t="shared" si="9"/>
        <v>0</v>
      </c>
      <c r="R56" s="644">
        <f t="shared" si="2"/>
        <v>0.14942528735632185</v>
      </c>
    </row>
    <row r="57" spans="1:19" s="11" customFormat="1" ht="11.25" customHeight="1" outlineLevel="2">
      <c r="A57" s="26"/>
      <c r="B57" s="26"/>
      <c r="C57" s="26" t="s">
        <v>192</v>
      </c>
      <c r="D57" s="55">
        <v>500</v>
      </c>
      <c r="E57" s="137"/>
      <c r="F57" s="55"/>
      <c r="G57" s="76"/>
      <c r="H57" s="124">
        <v>333.33333333333331</v>
      </c>
      <c r="I57" s="422">
        <v>1395.26</v>
      </c>
      <c r="J57" s="87"/>
      <c r="K57" s="366">
        <f t="shared" si="3"/>
        <v>2092.89</v>
      </c>
      <c r="M57" s="604">
        <v>2000</v>
      </c>
      <c r="N57" s="232">
        <f t="shared" si="15"/>
        <v>0</v>
      </c>
      <c r="O57" s="232">
        <f t="shared" si="8"/>
        <v>0</v>
      </c>
      <c r="P57" s="232">
        <f t="shared" si="9"/>
        <v>0</v>
      </c>
      <c r="R57" s="644">
        <f t="shared" si="2"/>
        <v>3</v>
      </c>
    </row>
    <row r="58" spans="1:19" s="11" customFormat="1" ht="11.25" customHeight="1" outlineLevel="2">
      <c r="A58" s="26"/>
      <c r="B58" s="26"/>
      <c r="C58" s="26" t="s">
        <v>73</v>
      </c>
      <c r="D58" s="126">
        <v>24600</v>
      </c>
      <c r="E58" s="137">
        <f t="shared" si="13"/>
        <v>22632</v>
      </c>
      <c r="F58" s="55">
        <f t="shared" si="16"/>
        <v>1230</v>
      </c>
      <c r="G58" s="76">
        <f t="shared" si="17"/>
        <v>738</v>
      </c>
      <c r="H58" s="124">
        <v>16400</v>
      </c>
      <c r="I58" s="422">
        <v>5444.15</v>
      </c>
      <c r="J58" s="87"/>
      <c r="K58" s="366">
        <f t="shared" si="3"/>
        <v>8166.2249999999995</v>
      </c>
      <c r="M58" s="604">
        <v>8500</v>
      </c>
      <c r="N58" s="232">
        <f t="shared" si="15"/>
        <v>0</v>
      </c>
      <c r="O58" s="232">
        <f t="shared" si="8"/>
        <v>0</v>
      </c>
      <c r="P58" s="232">
        <f t="shared" si="9"/>
        <v>0</v>
      </c>
      <c r="R58" s="644">
        <f t="shared" si="2"/>
        <v>-0.65447154471544711</v>
      </c>
    </row>
    <row r="59" spans="1:19" s="11" customFormat="1" ht="11.25" customHeight="1" outlineLevel="2">
      <c r="A59" s="26"/>
      <c r="B59" s="26"/>
      <c r="C59" s="591" t="s">
        <v>74</v>
      </c>
      <c r="D59" s="126">
        <v>4000</v>
      </c>
      <c r="E59" s="524">
        <f t="shared" si="13"/>
        <v>3680</v>
      </c>
      <c r="F59" s="126">
        <f t="shared" si="16"/>
        <v>200</v>
      </c>
      <c r="G59" s="477">
        <f t="shared" si="17"/>
        <v>120</v>
      </c>
      <c r="H59" s="422">
        <v>2666.6666666666665</v>
      </c>
      <c r="I59" s="422">
        <v>5455.8</v>
      </c>
      <c r="J59" s="589"/>
      <c r="K59" s="190">
        <f t="shared" si="3"/>
        <v>8183.7000000000007</v>
      </c>
      <c r="L59" s="590"/>
      <c r="M59" s="610">
        <v>6000</v>
      </c>
      <c r="N59" s="232">
        <f t="shared" si="15"/>
        <v>0</v>
      </c>
      <c r="O59" s="232">
        <f t="shared" si="8"/>
        <v>0</v>
      </c>
      <c r="P59" s="232">
        <f t="shared" si="9"/>
        <v>0</v>
      </c>
      <c r="R59" s="644">
        <f t="shared" si="2"/>
        <v>0.5</v>
      </c>
    </row>
    <row r="60" spans="1:19" s="11" customFormat="1" ht="11.25" customHeight="1" outlineLevel="2">
      <c r="A60" s="26"/>
      <c r="B60" s="26"/>
      <c r="C60" s="591" t="s">
        <v>75</v>
      </c>
      <c r="D60" s="126">
        <v>200</v>
      </c>
      <c r="E60" s="524">
        <f t="shared" si="13"/>
        <v>184</v>
      </c>
      <c r="F60" s="126">
        <f t="shared" si="16"/>
        <v>10</v>
      </c>
      <c r="G60" s="477">
        <f t="shared" si="17"/>
        <v>6</v>
      </c>
      <c r="H60" s="422">
        <v>133.33333333333334</v>
      </c>
      <c r="I60" s="422">
        <v>272</v>
      </c>
      <c r="J60" s="589"/>
      <c r="K60" s="190">
        <f t="shared" si="3"/>
        <v>408</v>
      </c>
      <c r="L60" s="590"/>
      <c r="M60" s="610">
        <v>300</v>
      </c>
      <c r="N60" s="232">
        <f t="shared" si="15"/>
        <v>0</v>
      </c>
      <c r="O60" s="232">
        <f t="shared" si="8"/>
        <v>0</v>
      </c>
      <c r="P60" s="232">
        <f t="shared" si="9"/>
        <v>0</v>
      </c>
      <c r="R60" s="644">
        <f t="shared" si="2"/>
        <v>0.5</v>
      </c>
    </row>
    <row r="61" spans="1:19" s="11" customFormat="1" ht="11.25" customHeight="1" outlineLevel="2">
      <c r="A61" s="26"/>
      <c r="B61" s="26"/>
      <c r="C61" s="591" t="s">
        <v>76</v>
      </c>
      <c r="D61" s="126">
        <v>600</v>
      </c>
      <c r="E61" s="524">
        <f t="shared" si="13"/>
        <v>552</v>
      </c>
      <c r="F61" s="126">
        <f t="shared" si="16"/>
        <v>30</v>
      </c>
      <c r="G61" s="477">
        <f t="shared" si="17"/>
        <v>18</v>
      </c>
      <c r="H61" s="422">
        <v>400</v>
      </c>
      <c r="I61" s="422">
        <v>350.22</v>
      </c>
      <c r="J61" s="589"/>
      <c r="K61" s="190">
        <f t="shared" si="3"/>
        <v>525.33000000000004</v>
      </c>
      <c r="L61" s="590"/>
      <c r="M61" s="610">
        <v>700</v>
      </c>
      <c r="N61" s="232">
        <f t="shared" si="15"/>
        <v>0</v>
      </c>
      <c r="O61" s="232">
        <f t="shared" si="8"/>
        <v>0</v>
      </c>
      <c r="P61" s="232">
        <f t="shared" si="9"/>
        <v>0</v>
      </c>
      <c r="R61" s="644">
        <f t="shared" si="2"/>
        <v>0.16666666666666666</v>
      </c>
    </row>
    <row r="62" spans="1:19" s="11" customFormat="1" ht="11.25" customHeight="1" outlineLevel="2">
      <c r="A62" s="26"/>
      <c r="B62" s="26"/>
      <c r="C62" s="591" t="s">
        <v>77</v>
      </c>
      <c r="D62" s="126">
        <v>35400</v>
      </c>
      <c r="E62" s="524">
        <f t="shared" si="13"/>
        <v>32568</v>
      </c>
      <c r="F62" s="126">
        <f t="shared" si="16"/>
        <v>1770</v>
      </c>
      <c r="G62" s="477">
        <f t="shared" si="17"/>
        <v>1062</v>
      </c>
      <c r="H62" s="422">
        <v>23600</v>
      </c>
      <c r="I62" s="422">
        <v>500</v>
      </c>
      <c r="J62" s="589"/>
      <c r="K62" s="190">
        <f t="shared" si="3"/>
        <v>750</v>
      </c>
      <c r="L62" s="590"/>
      <c r="M62" s="610">
        <v>0</v>
      </c>
      <c r="N62" s="232">
        <f t="shared" si="15"/>
        <v>0</v>
      </c>
      <c r="O62" s="232">
        <f t="shared" si="8"/>
        <v>0</v>
      </c>
      <c r="P62" s="232">
        <f t="shared" si="9"/>
        <v>0</v>
      </c>
      <c r="R62" s="644">
        <f t="shared" si="2"/>
        <v>-1</v>
      </c>
      <c r="S62" s="11" t="s">
        <v>241</v>
      </c>
    </row>
    <row r="63" spans="1:19" s="11" customFormat="1" ht="11.25" customHeight="1" outlineLevel="2">
      <c r="A63" s="26"/>
      <c r="B63" s="26"/>
      <c r="C63" s="26" t="s">
        <v>78</v>
      </c>
      <c r="D63" s="55">
        <v>0</v>
      </c>
      <c r="E63" s="137">
        <f t="shared" si="13"/>
        <v>0</v>
      </c>
      <c r="F63" s="55">
        <f t="shared" si="16"/>
        <v>0</v>
      </c>
      <c r="G63" s="76">
        <f t="shared" si="17"/>
        <v>0</v>
      </c>
      <c r="H63" s="124">
        <v>0</v>
      </c>
      <c r="I63" s="124"/>
      <c r="J63" s="87"/>
      <c r="K63" s="366">
        <f t="shared" si="3"/>
        <v>0</v>
      </c>
      <c r="M63" s="604">
        <v>100</v>
      </c>
      <c r="N63" s="232">
        <f t="shared" si="15"/>
        <v>0</v>
      </c>
      <c r="O63" s="232">
        <f t="shared" si="8"/>
        <v>0</v>
      </c>
      <c r="P63" s="232">
        <f t="shared" si="9"/>
        <v>0</v>
      </c>
      <c r="R63" s="644"/>
    </row>
    <row r="64" spans="1:19" s="11" customFormat="1" ht="11.25" customHeight="1" outlineLevel="2">
      <c r="A64" s="26"/>
      <c r="B64" s="26"/>
      <c r="C64" s="26" t="s">
        <v>61</v>
      </c>
      <c r="D64" s="55">
        <v>13200</v>
      </c>
      <c r="E64" s="137"/>
      <c r="F64" s="55"/>
      <c r="G64" s="76"/>
      <c r="H64" s="422">
        <v>8800</v>
      </c>
      <c r="I64" s="124"/>
      <c r="J64" s="87"/>
      <c r="K64" s="366">
        <f t="shared" si="3"/>
        <v>0</v>
      </c>
      <c r="M64" s="604"/>
      <c r="N64" s="232">
        <f t="shared" si="15"/>
        <v>0</v>
      </c>
      <c r="O64" s="232">
        <f t="shared" si="8"/>
        <v>0</v>
      </c>
      <c r="P64" s="232">
        <f t="shared" si="9"/>
        <v>0</v>
      </c>
      <c r="R64" s="644">
        <f t="shared" si="2"/>
        <v>-1</v>
      </c>
    </row>
    <row r="65" spans="1:19" s="399" customFormat="1" ht="14.25" customHeight="1" outlineLevel="1">
      <c r="A65" s="394"/>
      <c r="B65" s="302" t="s">
        <v>13</v>
      </c>
      <c r="C65" s="394"/>
      <c r="D65" s="400">
        <v>949408.62</v>
      </c>
      <c r="E65" s="445">
        <f>SUM(E66:E73)</f>
        <v>873455.93040000007</v>
      </c>
      <c r="F65" s="400">
        <f>SUM(F66:F73)</f>
        <v>47470.431000000004</v>
      </c>
      <c r="G65" s="400">
        <f>SUM(G66:G73)</f>
        <v>28482.258600000001</v>
      </c>
      <c r="H65" s="396">
        <v>632939.07999999996</v>
      </c>
      <c r="I65" s="396">
        <v>521638.84</v>
      </c>
      <c r="J65" s="446"/>
      <c r="K65" s="384">
        <f t="shared" si="3"/>
        <v>782458.26</v>
      </c>
      <c r="L65" s="447"/>
      <c r="M65" s="606">
        <f>SUM(M66:M74)</f>
        <v>984821.14293760015</v>
      </c>
      <c r="N65" s="377">
        <f t="shared" si="15"/>
        <v>0</v>
      </c>
      <c r="O65" s="377">
        <f t="shared" si="8"/>
        <v>0</v>
      </c>
      <c r="P65" s="377">
        <f t="shared" si="9"/>
        <v>0</v>
      </c>
      <c r="R65" s="643">
        <f t="shared" si="2"/>
        <v>3.7299559106173011E-2</v>
      </c>
      <c r="S65" s="319" t="s">
        <v>245</v>
      </c>
    </row>
    <row r="66" spans="1:19" s="11" customFormat="1" ht="11.25" customHeight="1" outlineLevel="2">
      <c r="A66" s="26"/>
      <c r="B66" s="26"/>
      <c r="C66" s="26" t="s">
        <v>79</v>
      </c>
      <c r="D66" s="216">
        <v>763665.28</v>
      </c>
      <c r="E66" s="137">
        <f t="shared" si="13"/>
        <v>702572.05760000006</v>
      </c>
      <c r="F66" s="55">
        <f t="shared" ref="F66:F73" si="18">D66*5%</f>
        <v>38183.264000000003</v>
      </c>
      <c r="G66" s="76">
        <f t="shared" ref="G66:G73" si="19">D66*3%</f>
        <v>22909.9584</v>
      </c>
      <c r="H66" s="124">
        <v>509110.1866666667</v>
      </c>
      <c r="I66" s="124">
        <v>421260.46</v>
      </c>
      <c r="J66" s="87"/>
      <c r="K66" s="366">
        <f t="shared" si="3"/>
        <v>631890.69000000006</v>
      </c>
      <c r="M66" s="604">
        <f>D66*1.04</f>
        <v>794211.89120000007</v>
      </c>
      <c r="N66" s="232">
        <f t="shared" si="15"/>
        <v>0</v>
      </c>
      <c r="O66" s="232">
        <f t="shared" si="8"/>
        <v>0</v>
      </c>
      <c r="P66" s="232">
        <f t="shared" si="9"/>
        <v>0</v>
      </c>
      <c r="R66" s="644">
        <f t="shared" si="2"/>
        <v>4.0000000000000056E-2</v>
      </c>
    </row>
    <row r="67" spans="1:19" s="11" customFormat="1" ht="11.25" customHeight="1" outlineLevel="2">
      <c r="A67" s="26"/>
      <c r="B67" s="26"/>
      <c r="C67" s="26" t="s">
        <v>193</v>
      </c>
      <c r="D67" s="216">
        <v>170297.36</v>
      </c>
      <c r="E67" s="137">
        <f t="shared" si="13"/>
        <v>156673.57120000001</v>
      </c>
      <c r="F67" s="55">
        <f t="shared" si="18"/>
        <v>8514.8680000000004</v>
      </c>
      <c r="G67" s="76">
        <f t="shared" si="19"/>
        <v>5108.920799999999</v>
      </c>
      <c r="H67" s="124">
        <v>113531.57333333332</v>
      </c>
      <c r="I67" s="124">
        <v>84531.81</v>
      </c>
      <c r="J67" s="87"/>
      <c r="K67" s="366">
        <f t="shared" si="3"/>
        <v>126797.715</v>
      </c>
      <c r="M67" s="604">
        <f>M66*0.223</f>
        <v>177109.25173760002</v>
      </c>
      <c r="N67" s="232">
        <f t="shared" si="15"/>
        <v>0</v>
      </c>
      <c r="O67" s="232">
        <f t="shared" si="8"/>
        <v>0</v>
      </c>
      <c r="P67" s="232">
        <f t="shared" si="9"/>
        <v>0</v>
      </c>
      <c r="R67" s="644">
        <f t="shared" si="2"/>
        <v>3.9999984366170048E-2</v>
      </c>
    </row>
    <row r="68" spans="1:19" s="11" customFormat="1" ht="11.25" customHeight="1" outlineLevel="2">
      <c r="A68" s="26"/>
      <c r="B68" s="26"/>
      <c r="C68" s="26" t="s">
        <v>160</v>
      </c>
      <c r="D68" s="216">
        <v>13745.98</v>
      </c>
      <c r="E68" s="137">
        <f t="shared" si="13"/>
        <v>12646.301600000001</v>
      </c>
      <c r="F68" s="55">
        <f t="shared" si="18"/>
        <v>687.29899999999998</v>
      </c>
      <c r="G68" s="76">
        <f t="shared" si="19"/>
        <v>412.37939999999998</v>
      </c>
      <c r="H68" s="124">
        <v>3637.2000000000003</v>
      </c>
      <c r="I68" s="422">
        <v>8372.4599999999991</v>
      </c>
      <c r="J68" s="87"/>
      <c r="K68" s="366">
        <f t="shared" si="3"/>
        <v>12558.689999999999</v>
      </c>
      <c r="M68" s="604">
        <v>8500</v>
      </c>
      <c r="N68" s="232">
        <f t="shared" si="15"/>
        <v>0</v>
      </c>
      <c r="O68" s="232">
        <f t="shared" si="8"/>
        <v>0</v>
      </c>
      <c r="P68" s="232">
        <f t="shared" si="9"/>
        <v>0</v>
      </c>
      <c r="R68" s="644">
        <f t="shared" si="2"/>
        <v>-0.38163739507841565</v>
      </c>
    </row>
    <row r="69" spans="1:19" s="11" customFormat="1" ht="11.25" customHeight="1" outlineLevel="2">
      <c r="A69" s="26"/>
      <c r="B69" s="26"/>
      <c r="C69" s="26" t="s">
        <v>161</v>
      </c>
      <c r="D69" s="126">
        <v>500</v>
      </c>
      <c r="E69" s="137">
        <f t="shared" si="13"/>
        <v>460</v>
      </c>
      <c r="F69" s="55">
        <f t="shared" si="18"/>
        <v>25</v>
      </c>
      <c r="G69" s="76">
        <f t="shared" si="19"/>
        <v>15</v>
      </c>
      <c r="H69" s="124">
        <v>333.33333333333331</v>
      </c>
      <c r="I69" s="124">
        <v>497.14</v>
      </c>
      <c r="J69" s="87"/>
      <c r="K69" s="366">
        <f t="shared" si="3"/>
        <v>745.71</v>
      </c>
      <c r="M69" s="604">
        <v>1000</v>
      </c>
      <c r="N69" s="232">
        <f t="shared" si="15"/>
        <v>0</v>
      </c>
      <c r="O69" s="232">
        <f t="shared" si="8"/>
        <v>0</v>
      </c>
      <c r="P69" s="232">
        <f t="shared" si="9"/>
        <v>0</v>
      </c>
      <c r="R69" s="644">
        <f t="shared" si="2"/>
        <v>1</v>
      </c>
    </row>
    <row r="70" spans="1:19" s="11" customFormat="1" ht="11.25" customHeight="1" outlineLevel="2">
      <c r="A70" s="26"/>
      <c r="B70" s="26"/>
      <c r="C70" s="26" t="s">
        <v>118</v>
      </c>
      <c r="D70" s="55">
        <v>0</v>
      </c>
      <c r="E70" s="137">
        <f t="shared" si="13"/>
        <v>0</v>
      </c>
      <c r="F70" s="55">
        <f t="shared" si="18"/>
        <v>0</v>
      </c>
      <c r="G70" s="76">
        <f t="shared" si="19"/>
        <v>0</v>
      </c>
      <c r="H70" s="124">
        <v>0</v>
      </c>
      <c r="I70" s="124">
        <v>0</v>
      </c>
      <c r="J70" s="87"/>
      <c r="K70" s="366">
        <f t="shared" si="3"/>
        <v>0</v>
      </c>
      <c r="M70" s="604"/>
      <c r="N70" s="232">
        <f t="shared" si="15"/>
        <v>0</v>
      </c>
      <c r="O70" s="232">
        <f t="shared" si="8"/>
        <v>0</v>
      </c>
      <c r="P70" s="232">
        <f t="shared" si="9"/>
        <v>0</v>
      </c>
      <c r="R70" s="644"/>
    </row>
    <row r="71" spans="1:19" s="11" customFormat="1" ht="11.25" customHeight="1" outlineLevel="2">
      <c r="A71" s="26"/>
      <c r="B71" s="26"/>
      <c r="C71" s="26" t="s">
        <v>86</v>
      </c>
      <c r="D71" s="55">
        <v>200</v>
      </c>
      <c r="E71" s="137">
        <f t="shared" si="13"/>
        <v>184</v>
      </c>
      <c r="F71" s="55">
        <f t="shared" si="18"/>
        <v>10</v>
      </c>
      <c r="G71" s="76">
        <f t="shared" si="19"/>
        <v>6</v>
      </c>
      <c r="H71" s="124">
        <v>133.33333333333334</v>
      </c>
      <c r="I71" s="124">
        <v>5334.98</v>
      </c>
      <c r="J71" s="87"/>
      <c r="K71" s="366">
        <f t="shared" ref="K71:K83" si="20">I71/8*12</f>
        <v>8002.4699999999993</v>
      </c>
      <c r="M71" s="604">
        <v>1500</v>
      </c>
      <c r="N71" s="232">
        <f t="shared" ref="N71:N83" si="21">M71*N70</f>
        <v>0</v>
      </c>
      <c r="O71" s="232">
        <f t="shared" ref="O71:O83" si="22">N71*O70</f>
        <v>0</v>
      </c>
      <c r="P71" s="232">
        <f t="shared" ref="P71:P83" si="23">O71*P70</f>
        <v>0</v>
      </c>
      <c r="R71" s="644">
        <f t="shared" si="2"/>
        <v>6.5</v>
      </c>
    </row>
    <row r="72" spans="1:19" s="11" customFormat="1" ht="11.25" customHeight="1" outlineLevel="2">
      <c r="A72" s="26"/>
      <c r="B72" s="26"/>
      <c r="C72" s="26" t="s">
        <v>194</v>
      </c>
      <c r="D72" s="55">
        <v>0</v>
      </c>
      <c r="E72" s="137">
        <f t="shared" si="13"/>
        <v>0</v>
      </c>
      <c r="F72" s="55">
        <f t="shared" si="18"/>
        <v>0</v>
      </c>
      <c r="G72" s="76">
        <f t="shared" si="19"/>
        <v>0</v>
      </c>
      <c r="H72" s="124">
        <v>0</v>
      </c>
      <c r="I72" s="124"/>
      <c r="J72" s="87"/>
      <c r="K72" s="366">
        <f t="shared" si="20"/>
        <v>0</v>
      </c>
      <c r="M72" s="604"/>
      <c r="N72" s="232">
        <f t="shared" si="21"/>
        <v>0</v>
      </c>
      <c r="O72" s="232">
        <f t="shared" si="22"/>
        <v>0</v>
      </c>
      <c r="P72" s="232">
        <f t="shared" si="23"/>
        <v>0</v>
      </c>
      <c r="R72" s="644"/>
    </row>
    <row r="73" spans="1:19" s="11" customFormat="1" ht="11.25" customHeight="1" outlineLevel="2">
      <c r="A73" s="26"/>
      <c r="B73" s="26"/>
      <c r="C73" s="26" t="s">
        <v>195</v>
      </c>
      <c r="D73" s="55">
        <v>1000</v>
      </c>
      <c r="E73" s="137">
        <f t="shared" si="13"/>
        <v>920</v>
      </c>
      <c r="F73" s="55">
        <f t="shared" si="18"/>
        <v>50</v>
      </c>
      <c r="G73" s="76">
        <f t="shared" si="19"/>
        <v>30</v>
      </c>
      <c r="H73" s="124">
        <v>666.66666666666663</v>
      </c>
      <c r="I73" s="124">
        <v>1641.99</v>
      </c>
      <c r="J73" s="87"/>
      <c r="K73" s="366">
        <f t="shared" si="20"/>
        <v>2462.9850000000001</v>
      </c>
      <c r="M73" s="604">
        <v>2500</v>
      </c>
      <c r="N73" s="232">
        <f t="shared" si="21"/>
        <v>0</v>
      </c>
      <c r="O73" s="232">
        <f t="shared" si="22"/>
        <v>0</v>
      </c>
      <c r="P73" s="232">
        <f t="shared" si="23"/>
        <v>0</v>
      </c>
      <c r="R73" s="644">
        <f t="shared" ref="R73:R80" si="24">(M73-D73)/D73</f>
        <v>1.5</v>
      </c>
    </row>
    <row r="74" spans="1:19" s="13" customFormat="1" ht="14.25" customHeight="1" outlineLevel="1">
      <c r="A74" s="26"/>
      <c r="B74" s="26"/>
      <c r="C74" s="26" t="s">
        <v>196</v>
      </c>
      <c r="D74" s="139"/>
      <c r="E74" s="142">
        <v>0</v>
      </c>
      <c r="F74" s="134">
        <v>0</v>
      </c>
      <c r="G74" s="134">
        <v>0</v>
      </c>
      <c r="H74" s="124">
        <v>0</v>
      </c>
      <c r="I74" s="124"/>
      <c r="J74" s="87"/>
      <c r="K74" s="366">
        <f t="shared" si="20"/>
        <v>0</v>
      </c>
      <c r="M74" s="604"/>
      <c r="N74" s="232">
        <f t="shared" si="21"/>
        <v>0</v>
      </c>
      <c r="O74" s="232">
        <f t="shared" si="22"/>
        <v>0</v>
      </c>
      <c r="P74" s="232">
        <f t="shared" si="23"/>
        <v>0</v>
      </c>
      <c r="R74" s="644"/>
    </row>
    <row r="75" spans="1:19" s="395" customFormat="1" ht="11.25" customHeight="1" outlineLevel="2">
      <c r="A75" s="394"/>
      <c r="B75" s="394" t="s">
        <v>202</v>
      </c>
      <c r="C75" s="394"/>
      <c r="D75" s="448">
        <v>16000</v>
      </c>
      <c r="E75" s="449">
        <f>D75*92%</f>
        <v>14720</v>
      </c>
      <c r="F75" s="448">
        <f>D75*5%</f>
        <v>800</v>
      </c>
      <c r="G75" s="450">
        <f>D75*3%</f>
        <v>480</v>
      </c>
      <c r="H75" s="396">
        <v>10666.666666666666</v>
      </c>
      <c r="I75" s="396">
        <v>10209.16</v>
      </c>
      <c r="J75" s="374"/>
      <c r="K75" s="384">
        <f t="shared" si="20"/>
        <v>15313.74</v>
      </c>
      <c r="M75" s="606">
        <v>18000</v>
      </c>
      <c r="N75" s="377">
        <f t="shared" si="21"/>
        <v>0</v>
      </c>
      <c r="O75" s="377">
        <f t="shared" si="22"/>
        <v>0</v>
      </c>
      <c r="P75" s="377">
        <f t="shared" si="23"/>
        <v>0</v>
      </c>
      <c r="R75" s="643">
        <f t="shared" si="24"/>
        <v>0.125</v>
      </c>
    </row>
    <row r="76" spans="1:19" s="13" customFormat="1" ht="14.25" customHeight="1" outlineLevel="1">
      <c r="A76" s="26"/>
      <c r="B76" s="26"/>
      <c r="C76" s="26" t="s">
        <v>162</v>
      </c>
      <c r="D76" s="134">
        <v>16000</v>
      </c>
      <c r="E76" s="134">
        <f>E75</f>
        <v>14720</v>
      </c>
      <c r="F76" s="134">
        <f>F75</f>
        <v>800</v>
      </c>
      <c r="G76" s="134">
        <f>G75</f>
        <v>480</v>
      </c>
      <c r="H76" s="124">
        <v>10666.666666666666</v>
      </c>
      <c r="I76" s="124">
        <v>10209.16</v>
      </c>
      <c r="J76" s="87"/>
      <c r="K76" s="366">
        <f t="shared" si="20"/>
        <v>15313.74</v>
      </c>
      <c r="M76" s="604">
        <v>18000</v>
      </c>
      <c r="N76" s="232">
        <f t="shared" si="21"/>
        <v>0</v>
      </c>
      <c r="O76" s="232">
        <f t="shared" si="22"/>
        <v>0</v>
      </c>
      <c r="P76" s="232">
        <f t="shared" si="23"/>
        <v>0</v>
      </c>
      <c r="R76" s="644">
        <f t="shared" si="24"/>
        <v>0.125</v>
      </c>
    </row>
    <row r="77" spans="1:19" s="395" customFormat="1" ht="11.25" customHeight="1" outlineLevel="2">
      <c r="A77" s="394"/>
      <c r="B77" s="394" t="s">
        <v>87</v>
      </c>
      <c r="C77" s="394"/>
      <c r="D77" s="393">
        <v>0</v>
      </c>
      <c r="E77" s="393">
        <f>SUM(E78)</f>
        <v>0</v>
      </c>
      <c r="F77" s="393">
        <f>SUM(F78)</f>
        <v>0</v>
      </c>
      <c r="G77" s="393">
        <f>SUM(G78)</f>
        <v>0</v>
      </c>
      <c r="H77" s="396">
        <v>0</v>
      </c>
      <c r="I77" s="396">
        <v>25000</v>
      </c>
      <c r="J77" s="374"/>
      <c r="K77" s="384">
        <f t="shared" si="20"/>
        <v>37500</v>
      </c>
      <c r="L77" s="451"/>
      <c r="M77" s="606">
        <v>0</v>
      </c>
      <c r="N77" s="377">
        <f t="shared" si="21"/>
        <v>0</v>
      </c>
      <c r="O77" s="377">
        <f t="shared" si="22"/>
        <v>0</v>
      </c>
      <c r="P77" s="377">
        <f t="shared" si="23"/>
        <v>0</v>
      </c>
      <c r="R77" s="643"/>
    </row>
    <row r="78" spans="1:19" s="14" customFormat="1" ht="14.25" customHeight="1" outlineLevel="1">
      <c r="A78" s="26"/>
      <c r="B78" s="26"/>
      <c r="C78" s="26" t="s">
        <v>44</v>
      </c>
      <c r="D78" s="134">
        <v>0</v>
      </c>
      <c r="E78" s="137">
        <f>D78*92%</f>
        <v>0</v>
      </c>
      <c r="F78" s="55">
        <f>D78*5%</f>
        <v>0</v>
      </c>
      <c r="G78" s="76">
        <f>D78*3%</f>
        <v>0</v>
      </c>
      <c r="H78" s="124">
        <v>0</v>
      </c>
      <c r="I78" s="124">
        <v>25000</v>
      </c>
      <c r="J78" s="87"/>
      <c r="K78" s="366">
        <f t="shared" si="20"/>
        <v>37500</v>
      </c>
      <c r="M78" s="604">
        <v>0</v>
      </c>
      <c r="N78" s="232">
        <f t="shared" si="21"/>
        <v>0</v>
      </c>
      <c r="O78" s="232">
        <f t="shared" si="22"/>
        <v>0</v>
      </c>
      <c r="P78" s="232">
        <f t="shared" si="23"/>
        <v>0</v>
      </c>
      <c r="R78" s="647"/>
    </row>
    <row r="79" spans="1:19" s="395" customFormat="1" ht="12" customHeight="1" outlineLevel="2">
      <c r="A79" s="394"/>
      <c r="B79" s="394" t="s">
        <v>45</v>
      </c>
      <c r="C79" s="394"/>
      <c r="D79" s="448">
        <v>300</v>
      </c>
      <c r="E79" s="449">
        <f>D79*92%</f>
        <v>276</v>
      </c>
      <c r="F79" s="448">
        <f>D79*5%</f>
        <v>15</v>
      </c>
      <c r="G79" s="450">
        <f>D79*3%</f>
        <v>9</v>
      </c>
      <c r="H79" s="396">
        <v>200</v>
      </c>
      <c r="I79" s="396">
        <v>5070.53</v>
      </c>
      <c r="J79" s="374"/>
      <c r="K79" s="384">
        <f t="shared" si="20"/>
        <v>7605.7950000000001</v>
      </c>
      <c r="M79" s="606">
        <f>SUM(M80:M83)</f>
        <v>0</v>
      </c>
      <c r="N79" s="377">
        <f t="shared" si="21"/>
        <v>0</v>
      </c>
      <c r="O79" s="377">
        <f t="shared" si="22"/>
        <v>0</v>
      </c>
      <c r="P79" s="377">
        <f t="shared" si="23"/>
        <v>0</v>
      </c>
      <c r="R79" s="643">
        <f t="shared" si="24"/>
        <v>-1</v>
      </c>
    </row>
    <row r="80" spans="1:19" ht="12" customHeight="1">
      <c r="A80" s="44"/>
      <c r="B80" s="26"/>
      <c r="C80" s="26" t="s">
        <v>184</v>
      </c>
      <c r="D80" s="55">
        <v>300</v>
      </c>
      <c r="E80" s="137">
        <f>D80*92%</f>
        <v>276</v>
      </c>
      <c r="F80" s="55">
        <f>D80*5%</f>
        <v>15</v>
      </c>
      <c r="G80" s="76">
        <f>D80*3%</f>
        <v>9</v>
      </c>
      <c r="H80" s="124">
        <v>200</v>
      </c>
      <c r="I80" s="124">
        <v>235</v>
      </c>
      <c r="J80" s="44"/>
      <c r="K80" s="366">
        <f t="shared" si="20"/>
        <v>352.5</v>
      </c>
      <c r="L80" s="54"/>
      <c r="M80" s="604"/>
      <c r="N80" s="232">
        <f t="shared" si="21"/>
        <v>0</v>
      </c>
      <c r="O80" s="232">
        <f t="shared" si="22"/>
        <v>0</v>
      </c>
      <c r="P80" s="232">
        <f t="shared" si="23"/>
        <v>0</v>
      </c>
      <c r="R80" s="644">
        <f t="shared" si="24"/>
        <v>-1</v>
      </c>
    </row>
    <row r="81" spans="1:18" ht="12" customHeight="1">
      <c r="A81" s="44"/>
      <c r="B81" s="26"/>
      <c r="C81" s="26" t="s">
        <v>105</v>
      </c>
      <c r="D81" s="55">
        <v>0</v>
      </c>
      <c r="E81" s="137"/>
      <c r="F81" s="55"/>
      <c r="G81" s="102"/>
      <c r="H81" s="124">
        <v>0</v>
      </c>
      <c r="I81" s="124">
        <v>4835.53</v>
      </c>
      <c r="J81" s="5"/>
      <c r="K81" s="366">
        <f t="shared" si="20"/>
        <v>7253.2950000000001</v>
      </c>
      <c r="L81" s="54"/>
      <c r="M81" s="604"/>
      <c r="N81" s="232">
        <f t="shared" si="21"/>
        <v>0</v>
      </c>
      <c r="O81" s="232">
        <f t="shared" si="22"/>
        <v>0</v>
      </c>
      <c r="P81" s="232">
        <f t="shared" si="23"/>
        <v>0</v>
      </c>
      <c r="R81" s="647"/>
    </row>
    <row r="82" spans="1:18" ht="11.25" customHeight="1">
      <c r="A82" s="44"/>
      <c r="B82" s="26"/>
      <c r="C82" s="26" t="s">
        <v>14</v>
      </c>
      <c r="D82" s="99">
        <v>0</v>
      </c>
      <c r="E82" s="55"/>
      <c r="F82" s="420"/>
      <c r="G82" s="103"/>
      <c r="H82" s="124">
        <v>0</v>
      </c>
      <c r="I82" s="124"/>
      <c r="J82" s="5"/>
      <c r="K82" s="366">
        <f t="shared" si="20"/>
        <v>0</v>
      </c>
      <c r="L82" s="83"/>
      <c r="M82" s="604"/>
      <c r="N82" s="232">
        <f t="shared" si="21"/>
        <v>0</v>
      </c>
      <c r="O82" s="232">
        <f t="shared" si="22"/>
        <v>0</v>
      </c>
      <c r="P82" s="232">
        <f t="shared" si="23"/>
        <v>0</v>
      </c>
      <c r="R82" s="647"/>
    </row>
    <row r="83" spans="1:18" ht="13">
      <c r="A83" s="26"/>
      <c r="B83" s="26"/>
      <c r="C83" s="26" t="s">
        <v>197</v>
      </c>
      <c r="D83" s="433">
        <v>0</v>
      </c>
      <c r="E83" s="235"/>
      <c r="F83" s="434"/>
      <c r="G83" s="235"/>
      <c r="H83" s="233">
        <v>0</v>
      </c>
      <c r="I83" s="233"/>
      <c r="K83" s="423">
        <f t="shared" si="20"/>
        <v>0</v>
      </c>
      <c r="M83" s="611"/>
      <c r="N83" s="545">
        <f t="shared" si="21"/>
        <v>0</v>
      </c>
      <c r="O83" s="545">
        <f t="shared" si="22"/>
        <v>0</v>
      </c>
      <c r="P83" s="545">
        <f t="shared" si="23"/>
        <v>0</v>
      </c>
      <c r="R83" s="647"/>
    </row>
    <row r="84" spans="1:18">
      <c r="H84" s="128"/>
      <c r="I84" s="128"/>
    </row>
  </sheetData>
  <mergeCells count="5">
    <mergeCell ref="M5:M6"/>
    <mergeCell ref="D5:D6"/>
    <mergeCell ref="H5:H6"/>
    <mergeCell ref="I5:I6"/>
    <mergeCell ref="K5:K6"/>
  </mergeCells>
  <printOptions horizontalCentered="1" verticalCentered="1" gridLinesSet="0"/>
  <pageMargins left="0.39370078740157483" right="0.27559055118110237" top="0.27559055118110237" bottom="0.11811023622047245" header="0.51181102362204722" footer="0"/>
  <pageSetup paperSize="9" scale="90" orientation="portrait" r:id="rId1"/>
  <headerFooter alignWithMargins="0">
    <oddFooter>&amp;L&amp;8DOC06.PG01_Orçamento LapiSul_2015&amp;C&amp;8Aprovado pelo Conselho Diretor &amp;R&amp;8 6/10/2014</oddFooter>
  </headerFooter>
  <colBreaks count="1" manualBreakCount="1">
    <brk id="9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U85"/>
  <sheetViews>
    <sheetView showGridLines="0" zoomScale="91" zoomScaleNormal="110" workbookViewId="0">
      <selection activeCell="R29" sqref="R29"/>
    </sheetView>
  </sheetViews>
  <sheetFormatPr baseColWidth="10" defaultColWidth="9" defaultRowHeight="18" outlineLevelRow="2"/>
  <cols>
    <col min="1" max="1" width="3.19921875" style="15" customWidth="1"/>
    <col min="2" max="2" width="3.19921875" style="3" customWidth="1"/>
    <col min="3" max="3" width="28.19921875" style="5" customWidth="1"/>
    <col min="4" max="7" width="13.796875" style="16" customWidth="1"/>
    <col min="8" max="8" width="0.3984375" style="16" hidden="1" customWidth="1"/>
    <col min="9" max="9" width="1.796875" style="16" hidden="1" customWidth="1"/>
    <col min="10" max="10" width="14" style="15" customWidth="1"/>
    <col min="11" max="11" width="4.3984375" style="87" customWidth="1"/>
    <col min="12" max="12" width="15" style="88" customWidth="1"/>
    <col min="13" max="13" width="3.3984375" customWidth="1"/>
    <col min="14" max="14" width="13" style="26" customWidth="1"/>
    <col min="15" max="15" width="10.796875" style="26" customWidth="1"/>
    <col min="16" max="16" width="13" style="83" customWidth="1"/>
    <col min="17" max="17" width="4.59765625" style="5" customWidth="1"/>
    <col min="18" max="16384" width="9" style="5"/>
  </cols>
  <sheetData>
    <row r="1" spans="1:21">
      <c r="C1" s="18" t="s">
        <v>91</v>
      </c>
      <c r="L1" s="84"/>
    </row>
    <row r="2" spans="1:21" s="3" customFormat="1" ht="24" customHeight="1">
      <c r="B2" s="66"/>
      <c r="C2" s="17" t="s">
        <v>92</v>
      </c>
      <c r="D2" s="41"/>
      <c r="E2" s="41"/>
      <c r="F2" s="41"/>
      <c r="G2" s="41"/>
      <c r="H2" s="42"/>
      <c r="I2" s="42"/>
      <c r="J2" s="5"/>
      <c r="K2" s="87"/>
      <c r="L2" s="86"/>
      <c r="N2" s="44"/>
      <c r="O2" s="44"/>
      <c r="P2" s="83"/>
    </row>
    <row r="3" spans="1:21" s="3" customFormat="1" ht="24" customHeight="1">
      <c r="A3" s="239" t="s">
        <v>169</v>
      </c>
      <c r="B3" s="66"/>
      <c r="C3" s="17"/>
      <c r="D3" s="41"/>
      <c r="E3" s="41"/>
      <c r="F3" s="41"/>
      <c r="G3" s="41"/>
      <c r="H3" s="42"/>
      <c r="I3" s="42"/>
      <c r="J3" s="5"/>
      <c r="K3" s="5"/>
      <c r="L3" s="87"/>
      <c r="N3" s="80"/>
      <c r="O3" s="44"/>
      <c r="P3" s="80"/>
    </row>
    <row r="4" spans="1:21" s="4" customFormat="1" ht="17.25" customHeight="1">
      <c r="A4" s="413" t="s">
        <v>237</v>
      </c>
      <c r="B4" s="44"/>
      <c r="C4" s="44"/>
      <c r="E4" s="350"/>
      <c r="F4" s="350"/>
      <c r="G4" s="350"/>
      <c r="H4" s="94"/>
      <c r="I4" s="94"/>
      <c r="J4" s="94"/>
      <c r="K4" s="94"/>
      <c r="L4" s="82"/>
      <c r="N4" s="79"/>
      <c r="O4" s="44"/>
      <c r="P4" s="79"/>
    </row>
    <row r="5" spans="1:21" ht="27" customHeight="1">
      <c r="A5" s="26"/>
      <c r="B5" s="44"/>
      <c r="C5" s="26"/>
      <c r="D5" s="101">
        <v>2025</v>
      </c>
      <c r="E5" s="118" t="s">
        <v>170</v>
      </c>
      <c r="F5" s="118" t="s">
        <v>142</v>
      </c>
      <c r="G5" s="188">
        <v>45870</v>
      </c>
      <c r="H5" s="74" t="s">
        <v>166</v>
      </c>
      <c r="I5" s="74" t="s">
        <v>142</v>
      </c>
      <c r="J5" s="45" t="s">
        <v>232</v>
      </c>
      <c r="L5" s="120" t="s">
        <v>233</v>
      </c>
      <c r="N5" s="227">
        <v>2026</v>
      </c>
      <c r="O5" s="118" t="s">
        <v>170</v>
      </c>
      <c r="P5" s="118" t="s">
        <v>142</v>
      </c>
      <c r="R5" s="246" t="s">
        <v>235</v>
      </c>
    </row>
    <row r="6" spans="1:21" s="376" customFormat="1" ht="21" customHeight="1">
      <c r="A6" s="302" t="s">
        <v>15</v>
      </c>
      <c r="B6" s="302"/>
      <c r="C6" s="302"/>
      <c r="D6" s="236">
        <v>-7966.5666000000783</v>
      </c>
      <c r="E6" s="498">
        <v>0.8</v>
      </c>
      <c r="F6" s="497">
        <v>0.2</v>
      </c>
      <c r="G6" s="236">
        <v>-5311.0444000000525</v>
      </c>
      <c r="H6" s="497">
        <v>53592.580000000016</v>
      </c>
      <c r="I6" s="532">
        <v>0.2</v>
      </c>
      <c r="J6" s="535">
        <v>53592.580000000016</v>
      </c>
      <c r="K6" s="501"/>
      <c r="L6" s="236">
        <f>J6/8*12</f>
        <v>80388.870000000024</v>
      </c>
      <c r="N6" s="432">
        <f>N7-N35</f>
        <v>6700.6325600000564</v>
      </c>
      <c r="O6" s="523">
        <v>0.9</v>
      </c>
      <c r="P6" s="537">
        <v>0.1</v>
      </c>
      <c r="R6" s="538">
        <f>(D6-N6)/D6</f>
        <v>1.8410941496428324</v>
      </c>
    </row>
    <row r="7" spans="1:21" s="385" customFormat="1" ht="21" customHeight="1">
      <c r="A7" s="380" t="s">
        <v>6</v>
      </c>
      <c r="B7" s="380"/>
      <c r="C7" s="380"/>
      <c r="D7" s="192">
        <v>489588.76339999994</v>
      </c>
      <c r="E7" s="500"/>
      <c r="F7" s="502"/>
      <c r="G7" s="192">
        <v>326392.50893333327</v>
      </c>
      <c r="H7" s="502">
        <v>371013.51999999996</v>
      </c>
      <c r="I7" s="533"/>
      <c r="J7" s="500">
        <v>371013.51999999996</v>
      </c>
      <c r="K7" s="501"/>
      <c r="L7" s="192">
        <f t="shared" ref="L7:L70" si="0">J7/8*12</f>
        <v>556520.27999999991</v>
      </c>
      <c r="N7" s="195">
        <f>SUM(N8+N17+N22+N28+N30)</f>
        <v>546122.82195000001</v>
      </c>
      <c r="O7" s="503"/>
      <c r="P7" s="192"/>
      <c r="R7" s="538">
        <f t="shared" ref="R7:R70" si="1">(N7-D7)/D7</f>
        <v>0.11547254099010247</v>
      </c>
    </row>
    <row r="8" spans="1:21" s="392" customFormat="1" ht="14.25" customHeight="1" outlineLevel="1">
      <c r="A8" s="386"/>
      <c r="B8" s="387" t="s">
        <v>7</v>
      </c>
      <c r="C8" s="386"/>
      <c r="D8" s="509">
        <v>240073.80939999997</v>
      </c>
      <c r="E8" s="505"/>
      <c r="F8" s="510"/>
      <c r="G8" s="509">
        <v>160049.20626666665</v>
      </c>
      <c r="H8" s="504">
        <v>167414.10999999999</v>
      </c>
      <c r="I8" s="513"/>
      <c r="J8" s="500">
        <v>167414.10999999999</v>
      </c>
      <c r="K8" s="501"/>
      <c r="L8" s="192">
        <f t="shared" si="0"/>
        <v>251121.16499999998</v>
      </c>
      <c r="N8" s="393">
        <f>SUM(N9:N16)</f>
        <v>258103.05485000001</v>
      </c>
      <c r="O8" s="508"/>
      <c r="P8" s="192"/>
      <c r="R8" s="538">
        <f t="shared" si="1"/>
        <v>7.5098760231527562E-2</v>
      </c>
    </row>
    <row r="9" spans="1:21" s="11" customFormat="1" ht="11.25" customHeight="1" outlineLevel="2">
      <c r="A9" s="26"/>
      <c r="B9" s="26"/>
      <c r="C9" s="26" t="s">
        <v>143</v>
      </c>
      <c r="D9" s="122">
        <v>200274.06819999998</v>
      </c>
      <c r="E9" s="122">
        <f>D9</f>
        <v>200274.06819999998</v>
      </c>
      <c r="F9" s="469"/>
      <c r="G9" s="122">
        <v>133516.04546666666</v>
      </c>
      <c r="H9" s="469"/>
      <c r="I9" s="471"/>
      <c r="J9" s="422">
        <v>144276.32999999999</v>
      </c>
      <c r="K9" s="478"/>
      <c r="L9" s="197">
        <f>J9/8*12</f>
        <v>216414.495</v>
      </c>
      <c r="N9" s="124">
        <f>L9*1.03</f>
        <v>222906.92985000001</v>
      </c>
      <c r="O9" s="128">
        <f>N9</f>
        <v>222906.92985000001</v>
      </c>
      <c r="P9" s="122"/>
      <c r="R9" s="539">
        <f t="shared" si="1"/>
        <v>0.1130094467717016</v>
      </c>
      <c r="T9" s="211"/>
    </row>
    <row r="10" spans="1:21" s="11" customFormat="1" ht="11.25" customHeight="1" outlineLevel="2">
      <c r="A10" s="26"/>
      <c r="B10" s="26"/>
      <c r="C10" s="26" t="s">
        <v>33</v>
      </c>
      <c r="D10" s="122">
        <v>1500</v>
      </c>
      <c r="E10" s="122">
        <f>D10</f>
        <v>1500</v>
      </c>
      <c r="F10" s="469"/>
      <c r="G10" s="122">
        <v>1000</v>
      </c>
      <c r="H10" s="469">
        <v>4712.6000000000004</v>
      </c>
      <c r="I10" s="471"/>
      <c r="J10" s="422"/>
      <c r="K10" s="478"/>
      <c r="L10" s="197">
        <f t="shared" si="0"/>
        <v>0</v>
      </c>
      <c r="N10" s="124">
        <v>0</v>
      </c>
      <c r="O10" s="128"/>
      <c r="P10" s="122"/>
      <c r="R10" s="539">
        <f t="shared" si="1"/>
        <v>-1</v>
      </c>
      <c r="T10" s="211"/>
      <c r="U10" s="211">
        <f>+N8+N17+N22</f>
        <v>546122.82195000001</v>
      </c>
    </row>
    <row r="11" spans="1:21" s="11" customFormat="1" ht="11.25" customHeight="1" outlineLevel="2">
      <c r="A11" s="26"/>
      <c r="B11" s="26"/>
      <c r="C11" s="26" t="s">
        <v>127</v>
      </c>
      <c r="D11" s="122">
        <v>12000</v>
      </c>
      <c r="E11" s="122">
        <f>D11</f>
        <v>12000</v>
      </c>
      <c r="F11" s="469"/>
      <c r="G11" s="122">
        <v>8000</v>
      </c>
      <c r="H11" s="469"/>
      <c r="I11" s="471"/>
      <c r="J11" s="422">
        <v>4712.6000000000004</v>
      </c>
      <c r="K11" s="478"/>
      <c r="L11" s="197">
        <f t="shared" si="0"/>
        <v>7068.9000000000005</v>
      </c>
      <c r="N11" s="124">
        <v>8000</v>
      </c>
      <c r="O11" s="128">
        <v>8000</v>
      </c>
      <c r="P11" s="122"/>
      <c r="R11" s="539">
        <f t="shared" si="1"/>
        <v>-0.33333333333333331</v>
      </c>
    </row>
    <row r="12" spans="1:21" s="11" customFormat="1" ht="11.25" customHeight="1" outlineLevel="2">
      <c r="A12" s="26"/>
      <c r="B12" s="26"/>
      <c r="C12" s="26" t="s">
        <v>128</v>
      </c>
      <c r="D12" s="122">
        <v>0</v>
      </c>
      <c r="E12" s="122">
        <f>D12</f>
        <v>0</v>
      </c>
      <c r="F12" s="469"/>
      <c r="G12" s="122">
        <v>0</v>
      </c>
      <c r="H12" s="469">
        <v>4165</v>
      </c>
      <c r="I12" s="471"/>
      <c r="J12" s="422"/>
      <c r="K12" s="478"/>
      <c r="L12" s="197">
        <f t="shared" si="0"/>
        <v>0</v>
      </c>
      <c r="N12" s="124">
        <v>0</v>
      </c>
      <c r="O12" s="128"/>
      <c r="P12" s="122"/>
      <c r="R12" s="539"/>
      <c r="T12" s="211"/>
    </row>
    <row r="13" spans="1:21" s="11" customFormat="1" ht="11.25" customHeight="1" outlineLevel="2">
      <c r="A13" s="26"/>
      <c r="B13" s="26"/>
      <c r="C13" s="26" t="s">
        <v>29</v>
      </c>
      <c r="D13" s="122">
        <v>4500</v>
      </c>
      <c r="E13" s="122">
        <f>D13</f>
        <v>4500</v>
      </c>
      <c r="F13" s="469"/>
      <c r="G13" s="122">
        <v>3000</v>
      </c>
      <c r="H13" s="469">
        <v>0</v>
      </c>
      <c r="I13" s="471"/>
      <c r="J13" s="422">
        <v>4165</v>
      </c>
      <c r="K13" s="478"/>
      <c r="L13" s="197">
        <f t="shared" si="0"/>
        <v>6247.5</v>
      </c>
      <c r="N13" s="124">
        <v>5000</v>
      </c>
      <c r="O13" s="128">
        <v>6000</v>
      </c>
      <c r="P13" s="122"/>
      <c r="R13" s="539">
        <f t="shared" si="1"/>
        <v>0.1111111111111111</v>
      </c>
    </row>
    <row r="14" spans="1:21" s="11" customFormat="1" ht="11.25" customHeight="1" outlineLevel="2">
      <c r="A14" s="26"/>
      <c r="B14" s="26"/>
      <c r="C14" s="26" t="s">
        <v>97</v>
      </c>
      <c r="D14" s="422"/>
      <c r="E14" s="122"/>
      <c r="F14" s="476"/>
      <c r="G14" s="422"/>
      <c r="H14" s="469"/>
      <c r="I14" s="471"/>
      <c r="J14" s="422"/>
      <c r="K14" s="478"/>
      <c r="L14" s="197"/>
      <c r="N14" s="124"/>
      <c r="O14" s="128"/>
      <c r="P14" s="122"/>
      <c r="R14" s="539"/>
    </row>
    <row r="15" spans="1:21" s="9" customFormat="1" ht="14.25" customHeight="1" outlineLevel="1">
      <c r="A15" s="26"/>
      <c r="B15" s="26"/>
      <c r="C15" s="26" t="s">
        <v>144</v>
      </c>
      <c r="D15" s="122">
        <v>25399.7412</v>
      </c>
      <c r="E15" s="122"/>
      <c r="F15" s="469">
        <f>D15</f>
        <v>25399.7412</v>
      </c>
      <c r="G15" s="122">
        <v>16933.160800000001</v>
      </c>
      <c r="H15" s="469">
        <v>-2054.8200000000002</v>
      </c>
      <c r="I15" s="471"/>
      <c r="J15" s="422">
        <v>16315</v>
      </c>
      <c r="K15" s="478"/>
      <c r="L15" s="197">
        <f t="shared" si="0"/>
        <v>24472.5</v>
      </c>
      <c r="N15" s="134">
        <f>L15*1.05</f>
        <v>25696.125</v>
      </c>
      <c r="O15" s="226"/>
      <c r="P15" s="134">
        <f>N15*1.05</f>
        <v>26980.931250000001</v>
      </c>
      <c r="R15" s="539">
        <f t="shared" si="1"/>
        <v>1.1668772436153782E-2</v>
      </c>
    </row>
    <row r="16" spans="1:21" s="9" customFormat="1" ht="14.25" customHeight="1" outlineLevel="1">
      <c r="A16" s="26"/>
      <c r="B16" s="26"/>
      <c r="C16" s="26" t="s">
        <v>214</v>
      </c>
      <c r="D16" s="122">
        <v>-3600</v>
      </c>
      <c r="E16" s="122"/>
      <c r="F16" s="469"/>
      <c r="G16" s="122">
        <v>-2400</v>
      </c>
      <c r="H16" s="469">
        <v>156222.07</v>
      </c>
      <c r="I16" s="471"/>
      <c r="J16" s="422">
        <v>-2054.8200000000002</v>
      </c>
      <c r="K16" s="478"/>
      <c r="L16" s="197">
        <f t="shared" si="0"/>
        <v>-3082.2300000000005</v>
      </c>
      <c r="N16" s="134">
        <v>-3500</v>
      </c>
      <c r="O16" s="226"/>
      <c r="P16" s="122"/>
      <c r="R16" s="539">
        <f t="shared" si="1"/>
        <v>-2.7777777777777776E-2</v>
      </c>
    </row>
    <row r="17" spans="1:18" s="395" customFormat="1" ht="11.25" customHeight="1" outlineLevel="2">
      <c r="A17" s="386"/>
      <c r="B17" s="394" t="s">
        <v>200</v>
      </c>
      <c r="C17" s="394"/>
      <c r="D17" s="509">
        <v>197514.954</v>
      </c>
      <c r="E17" s="505"/>
      <c r="F17" s="510"/>
      <c r="G17" s="509">
        <v>131676.636</v>
      </c>
      <c r="H17" s="510">
        <v>131540.79</v>
      </c>
      <c r="I17" s="513"/>
      <c r="J17" s="500">
        <v>156222.07</v>
      </c>
      <c r="K17" s="501"/>
      <c r="L17" s="192">
        <f t="shared" si="0"/>
        <v>234333.10500000001</v>
      </c>
      <c r="N17" s="396">
        <f>SUM(N18:N21)</f>
        <v>239019.7671</v>
      </c>
      <c r="O17" s="512"/>
      <c r="P17" s="192"/>
      <c r="R17" s="538">
        <f t="shared" si="1"/>
        <v>0.21013504172448633</v>
      </c>
    </row>
    <row r="18" spans="1:18" s="11" customFormat="1" ht="11.25" customHeight="1" outlineLevel="2">
      <c r="A18" s="26"/>
      <c r="B18" s="26"/>
      <c r="C18" s="26" t="s">
        <v>215</v>
      </c>
      <c r="D18" s="122">
        <v>174723.75899999999</v>
      </c>
      <c r="E18" s="122">
        <f>D18</f>
        <v>174723.75899999999</v>
      </c>
      <c r="F18" s="469"/>
      <c r="G18" s="122">
        <v>116482.50599999999</v>
      </c>
      <c r="H18" s="469">
        <v>24681.279999999999</v>
      </c>
      <c r="I18" s="471"/>
      <c r="J18" s="422">
        <v>131540.79</v>
      </c>
      <c r="K18" s="478"/>
      <c r="L18" s="197">
        <f t="shared" si="0"/>
        <v>197311.185</v>
      </c>
      <c r="N18" s="124">
        <f>L18*1.02</f>
        <v>201257.4087</v>
      </c>
      <c r="O18" s="128">
        <f>N18</f>
        <v>201257.4087</v>
      </c>
      <c r="P18" s="122"/>
      <c r="R18" s="539">
        <f t="shared" si="1"/>
        <v>0.15186057037612161</v>
      </c>
    </row>
    <row r="19" spans="1:18" s="11" customFormat="1" ht="11.25" customHeight="1" outlineLevel="2">
      <c r="A19" s="26"/>
      <c r="B19" s="26"/>
      <c r="C19" s="26" t="s">
        <v>216</v>
      </c>
      <c r="D19" s="122">
        <v>22791.195000000003</v>
      </c>
      <c r="E19" s="122"/>
      <c r="F19" s="469">
        <f>D19</f>
        <v>22791.195000000003</v>
      </c>
      <c r="G19" s="122">
        <v>15194.130000000003</v>
      </c>
      <c r="H19" s="469"/>
      <c r="I19" s="471"/>
      <c r="J19" s="422">
        <v>24681.279999999999</v>
      </c>
      <c r="K19" s="478"/>
      <c r="L19" s="197">
        <f t="shared" si="0"/>
        <v>37021.919999999998</v>
      </c>
      <c r="N19" s="124">
        <f>L19*1.02</f>
        <v>37762.358399999997</v>
      </c>
      <c r="O19" s="128"/>
      <c r="P19" s="124">
        <f>N19*1.02</f>
        <v>38517.605567999999</v>
      </c>
      <c r="R19" s="539">
        <f t="shared" si="1"/>
        <v>0.65688365177867991</v>
      </c>
    </row>
    <row r="20" spans="1:18" s="11" customFormat="1" ht="11.25" customHeight="1" outlineLevel="2">
      <c r="A20" s="26"/>
      <c r="B20" s="26"/>
      <c r="C20" s="26" t="s">
        <v>132</v>
      </c>
      <c r="D20" s="126"/>
      <c r="E20" s="122"/>
      <c r="F20" s="469"/>
      <c r="G20" s="126">
        <v>0</v>
      </c>
      <c r="H20" s="469"/>
      <c r="I20" s="471"/>
      <c r="J20" s="422"/>
      <c r="K20" s="478"/>
      <c r="L20" s="197">
        <f t="shared" si="0"/>
        <v>0</v>
      </c>
      <c r="N20" s="124"/>
      <c r="O20" s="128"/>
      <c r="P20" s="122"/>
      <c r="R20" s="539"/>
    </row>
    <row r="21" spans="1:18" s="9" customFormat="1" ht="11" customHeight="1" outlineLevel="1">
      <c r="A21" s="26"/>
      <c r="B21" s="26"/>
      <c r="C21" s="26" t="s">
        <v>217</v>
      </c>
      <c r="D21" s="126"/>
      <c r="E21" s="122"/>
      <c r="F21" s="469"/>
      <c r="G21" s="126">
        <v>0</v>
      </c>
      <c r="H21" s="469">
        <v>42086.86</v>
      </c>
      <c r="I21" s="471"/>
      <c r="J21" s="422"/>
      <c r="K21" s="478"/>
      <c r="L21" s="197">
        <f t="shared" si="0"/>
        <v>0</v>
      </c>
      <c r="N21" s="134"/>
      <c r="O21" s="226"/>
      <c r="P21" s="122"/>
      <c r="R21" s="539"/>
    </row>
    <row r="22" spans="1:18" s="392" customFormat="1" ht="14.25" customHeight="1" outlineLevel="1">
      <c r="A22" s="386"/>
      <c r="B22" s="394" t="s">
        <v>45</v>
      </c>
      <c r="C22" s="394"/>
      <c r="D22" s="509">
        <v>52000</v>
      </c>
      <c r="E22" s="509"/>
      <c r="F22" s="506"/>
      <c r="G22" s="531">
        <v>34666.666666666664</v>
      </c>
      <c r="H22" s="504"/>
      <c r="I22" s="513"/>
      <c r="J22" s="505">
        <v>42086.86</v>
      </c>
      <c r="K22" s="501"/>
      <c r="L22" s="192">
        <f t="shared" si="0"/>
        <v>63130.29</v>
      </c>
      <c r="N22" s="393">
        <f>SUM(N23:N27)</f>
        <v>49000</v>
      </c>
      <c r="O22" s="508"/>
      <c r="P22" s="509"/>
      <c r="R22" s="538">
        <f t="shared" si="1"/>
        <v>-5.7692307692307696E-2</v>
      </c>
    </row>
    <row r="23" spans="1:18" s="11" customFormat="1" ht="11.25" customHeight="1" outlineLevel="2">
      <c r="A23" s="26"/>
      <c r="B23" s="26"/>
      <c r="C23" s="26" t="s">
        <v>218</v>
      </c>
      <c r="D23" s="141"/>
      <c r="E23" s="122"/>
      <c r="F23" s="469"/>
      <c r="G23" s="479">
        <v>0</v>
      </c>
      <c r="H23" s="470"/>
      <c r="I23" s="471"/>
      <c r="J23" s="122"/>
      <c r="K23" s="476"/>
      <c r="L23" s="197">
        <f t="shared" si="0"/>
        <v>0</v>
      </c>
      <c r="N23" s="134"/>
      <c r="O23" s="128"/>
      <c r="P23" s="122"/>
      <c r="R23" s="539"/>
    </row>
    <row r="24" spans="1:18" s="9" customFormat="1" ht="14.25" customHeight="1" outlineLevel="1">
      <c r="A24" s="482"/>
      <c r="B24" s="26"/>
      <c r="C24" s="26" t="s">
        <v>168</v>
      </c>
      <c r="D24" s="141"/>
      <c r="E24" s="140"/>
      <c r="F24" s="483"/>
      <c r="G24" s="489">
        <v>0</v>
      </c>
      <c r="H24" s="483">
        <v>8482.74</v>
      </c>
      <c r="I24" s="527"/>
      <c r="J24" s="484"/>
      <c r="K24" s="478"/>
      <c r="L24" s="197">
        <f t="shared" si="0"/>
        <v>0</v>
      </c>
      <c r="N24" s="134"/>
      <c r="O24" s="226"/>
      <c r="P24" s="481"/>
      <c r="R24" s="539"/>
    </row>
    <row r="25" spans="1:18" s="73" customFormat="1" ht="14.25" customHeight="1" outlineLevel="1">
      <c r="A25" s="71"/>
      <c r="B25" s="26"/>
      <c r="C25" s="26" t="s">
        <v>133</v>
      </c>
      <c r="D25" s="479">
        <v>17000</v>
      </c>
      <c r="E25" s="473"/>
      <c r="F25" s="472"/>
      <c r="G25" s="473">
        <v>11333.333333333334</v>
      </c>
      <c r="H25" s="472">
        <v>22811.84</v>
      </c>
      <c r="I25" s="525"/>
      <c r="J25" s="473">
        <v>8482.74</v>
      </c>
      <c r="K25" s="478"/>
      <c r="L25" s="197">
        <f t="shared" si="0"/>
        <v>12724.11</v>
      </c>
      <c r="N25" s="72">
        <v>14000</v>
      </c>
      <c r="O25" s="229"/>
      <c r="P25" s="122"/>
      <c r="R25" s="539">
        <f t="shared" si="1"/>
        <v>-0.17647058823529413</v>
      </c>
    </row>
    <row r="26" spans="1:18" s="73" customFormat="1" ht="14.25" customHeight="1" outlineLevel="1">
      <c r="A26" s="71"/>
      <c r="B26" s="26"/>
      <c r="C26" s="26" t="s">
        <v>134</v>
      </c>
      <c r="D26" s="473">
        <v>35000</v>
      </c>
      <c r="E26" s="122">
        <f>D26*80%</f>
        <v>28000</v>
      </c>
      <c r="F26" s="469">
        <f>D26*20%</f>
        <v>7000</v>
      </c>
      <c r="G26" s="479">
        <v>23333.333333333332</v>
      </c>
      <c r="H26" s="472">
        <v>10792.28</v>
      </c>
      <c r="I26" s="525"/>
      <c r="J26" s="473">
        <v>22811.84</v>
      </c>
      <c r="K26" s="478"/>
      <c r="L26" s="197">
        <f t="shared" si="0"/>
        <v>34217.760000000002</v>
      </c>
      <c r="N26" s="72">
        <v>35000</v>
      </c>
      <c r="O26" s="229"/>
      <c r="P26" s="122"/>
      <c r="R26" s="539">
        <f t="shared" si="1"/>
        <v>0</v>
      </c>
    </row>
    <row r="27" spans="1:18" s="11" customFormat="1" ht="11.25" customHeight="1" outlineLevel="2">
      <c r="A27" s="71"/>
      <c r="B27" s="26"/>
      <c r="C27" s="26" t="s">
        <v>146</v>
      </c>
      <c r="D27" s="473">
        <v>0</v>
      </c>
      <c r="E27" s="122">
        <f>D27*80%</f>
        <v>0</v>
      </c>
      <c r="F27" s="469">
        <f>D27*20%</f>
        <v>0</v>
      </c>
      <c r="G27" s="474">
        <v>0</v>
      </c>
      <c r="H27" s="472">
        <v>3000</v>
      </c>
      <c r="I27" s="525"/>
      <c r="J27" s="473">
        <v>10792.28</v>
      </c>
      <c r="K27" s="478"/>
      <c r="L27" s="197">
        <f t="shared" si="0"/>
        <v>16188.420000000002</v>
      </c>
      <c r="N27" s="124">
        <v>0</v>
      </c>
      <c r="O27" s="128"/>
      <c r="P27" s="122"/>
      <c r="R27" s="539"/>
    </row>
    <row r="28" spans="1:18" s="392" customFormat="1" ht="14.25" customHeight="1" outlineLevel="1">
      <c r="A28" s="319"/>
      <c r="B28" s="440" t="s">
        <v>43</v>
      </c>
      <c r="C28" s="316"/>
      <c r="D28" s="509">
        <v>0</v>
      </c>
      <c r="E28" s="517"/>
      <c r="F28" s="516"/>
      <c r="G28" s="515">
        <v>0</v>
      </c>
      <c r="H28" s="516">
        <v>3000</v>
      </c>
      <c r="I28" s="534"/>
      <c r="J28" s="500">
        <v>3000</v>
      </c>
      <c r="K28" s="501"/>
      <c r="L28" s="192">
        <f t="shared" si="0"/>
        <v>4500</v>
      </c>
      <c r="N28" s="393">
        <v>0</v>
      </c>
      <c r="O28" s="508"/>
      <c r="P28" s="192"/>
      <c r="R28" s="538"/>
    </row>
    <row r="29" spans="1:18" s="11" customFormat="1" ht="11.25" customHeight="1" outlineLevel="2">
      <c r="A29" s="482"/>
      <c r="B29" s="44"/>
      <c r="C29" s="26" t="s">
        <v>44</v>
      </c>
      <c r="D29" s="126">
        <v>0</v>
      </c>
      <c r="E29" s="126">
        <f t="shared" ref="E29:E31" si="2">D29*80%</f>
        <v>0</v>
      </c>
      <c r="F29" s="486">
        <f t="shared" ref="F29:F31" si="3">D29*20%</f>
        <v>0</v>
      </c>
      <c r="G29" s="126">
        <v>0</v>
      </c>
      <c r="H29" s="483">
        <v>2290.48</v>
      </c>
      <c r="I29" s="527"/>
      <c r="J29" s="487">
        <v>3000</v>
      </c>
      <c r="K29" s="478"/>
      <c r="L29" s="197">
        <f t="shared" si="0"/>
        <v>4500</v>
      </c>
      <c r="N29" s="124"/>
      <c r="O29" s="128"/>
      <c r="P29" s="481"/>
      <c r="R29" s="539"/>
    </row>
    <row r="30" spans="1:18" s="395" customFormat="1" ht="11.25" customHeight="1" outlineLevel="2">
      <c r="A30" s="319"/>
      <c r="B30" s="394" t="s">
        <v>48</v>
      </c>
      <c r="C30" s="394"/>
      <c r="D30" s="509">
        <v>0</v>
      </c>
      <c r="E30" s="517"/>
      <c r="F30" s="516"/>
      <c r="G30" s="509">
        <v>0</v>
      </c>
      <c r="H30" s="516"/>
      <c r="I30" s="534"/>
      <c r="J30" s="518">
        <v>2290.48</v>
      </c>
      <c r="K30" s="501"/>
      <c r="L30" s="192">
        <f t="shared" si="0"/>
        <v>3435.7200000000003</v>
      </c>
      <c r="N30" s="442">
        <v>0</v>
      </c>
      <c r="O30" s="512"/>
      <c r="P30" s="192"/>
      <c r="R30" s="538"/>
    </row>
    <row r="31" spans="1:18" s="12" customFormat="1" ht="13.5" customHeight="1">
      <c r="A31" s="26"/>
      <c r="B31" s="26"/>
      <c r="C31" s="26" t="s">
        <v>135</v>
      </c>
      <c r="D31" s="126">
        <v>0</v>
      </c>
      <c r="E31" s="126">
        <f t="shared" si="2"/>
        <v>0</v>
      </c>
      <c r="F31" s="486">
        <f t="shared" si="3"/>
        <v>0</v>
      </c>
      <c r="G31" s="126">
        <v>0</v>
      </c>
      <c r="H31" s="477">
        <v>90.48</v>
      </c>
      <c r="I31" s="486"/>
      <c r="J31" s="422"/>
      <c r="K31" s="478"/>
      <c r="L31" s="197">
        <f t="shared" si="0"/>
        <v>0</v>
      </c>
      <c r="N31" s="232"/>
      <c r="O31" s="228"/>
      <c r="P31" s="126"/>
      <c r="R31" s="539"/>
    </row>
    <row r="32" spans="1:18" s="13" customFormat="1" ht="14.25" customHeight="1" outlineLevel="1">
      <c r="B32" s="26"/>
      <c r="C32" s="26" t="s">
        <v>147</v>
      </c>
      <c r="D32" s="481"/>
      <c r="E32" s="481"/>
      <c r="F32" s="530"/>
      <c r="G32" s="481">
        <v>0</v>
      </c>
      <c r="H32" s="485"/>
      <c r="I32" s="526">
        <f t="shared" ref="I32" si="4">I33+I38+I61+I70+I72</f>
        <v>193968.79866666664</v>
      </c>
      <c r="J32" s="487">
        <v>90.48</v>
      </c>
      <c r="K32" s="478"/>
      <c r="L32" s="197">
        <f t="shared" si="0"/>
        <v>135.72</v>
      </c>
      <c r="N32" s="138"/>
      <c r="O32" s="205"/>
      <c r="P32" s="481"/>
      <c r="R32" s="539"/>
    </row>
    <row r="33" spans="1:18" s="11" customFormat="1" ht="11.25" customHeight="1" outlineLevel="2">
      <c r="A33" s="488"/>
      <c r="B33" s="26"/>
      <c r="C33" s="26" t="s">
        <v>219</v>
      </c>
      <c r="D33" s="140"/>
      <c r="E33" s="140"/>
      <c r="F33" s="483"/>
      <c r="G33" s="141">
        <v>0</v>
      </c>
      <c r="H33" s="528">
        <v>2200</v>
      </c>
      <c r="I33" s="527">
        <f t="shared" ref="I33" si="5">SUM(I34:I37)</f>
        <v>87700.710666666666</v>
      </c>
      <c r="J33" s="489"/>
      <c r="K33" s="478"/>
      <c r="L33" s="197">
        <f t="shared" si="0"/>
        <v>0</v>
      </c>
      <c r="N33" s="124"/>
      <c r="O33" s="128"/>
      <c r="P33" s="481"/>
      <c r="R33" s="539"/>
    </row>
    <row r="34" spans="1:18" s="11" customFormat="1" ht="11.25" customHeight="1" outlineLevel="2">
      <c r="A34" s="26"/>
      <c r="B34" s="26"/>
      <c r="C34" s="26" t="s">
        <v>220</v>
      </c>
      <c r="D34" s="126"/>
      <c r="E34" s="126"/>
      <c r="F34" s="486"/>
      <c r="G34" s="126">
        <v>0</v>
      </c>
      <c r="H34" s="477">
        <v>317420.93999999994</v>
      </c>
      <c r="I34" s="486">
        <f>G34*20%</f>
        <v>0</v>
      </c>
      <c r="J34" s="422">
        <v>2200</v>
      </c>
      <c r="K34" s="478"/>
      <c r="L34" s="197">
        <f t="shared" si="0"/>
        <v>3300</v>
      </c>
      <c r="N34" s="124"/>
      <c r="O34" s="128"/>
      <c r="P34" s="126"/>
      <c r="R34" s="539"/>
    </row>
    <row r="35" spans="1:18" s="395" customFormat="1" ht="27" customHeight="1" outlineLevel="2">
      <c r="A35" s="302" t="s">
        <v>10</v>
      </c>
      <c r="B35" s="302"/>
      <c r="C35" s="302"/>
      <c r="D35" s="192">
        <v>497555.33</v>
      </c>
      <c r="E35" s="192">
        <f t="shared" ref="E35:F35" si="6">E36+E41+E65+E74+E78+E80</f>
        <v>386044.26400000002</v>
      </c>
      <c r="F35" s="499">
        <f t="shared" si="6"/>
        <v>96511.066000000006</v>
      </c>
      <c r="G35" s="192">
        <v>331703.55333333334</v>
      </c>
      <c r="H35" s="514">
        <v>56144.07</v>
      </c>
      <c r="I35" s="516">
        <f>G35*20%</f>
        <v>66340.710666666666</v>
      </c>
      <c r="J35" s="519">
        <v>317420.93999999994</v>
      </c>
      <c r="K35" s="501"/>
      <c r="L35" s="192">
        <f t="shared" si="0"/>
        <v>476131.40999999992</v>
      </c>
      <c r="N35" s="377">
        <f>N36+N41+N65+N74+N76+N78+N80</f>
        <v>539422.18938999996</v>
      </c>
      <c r="O35" s="452">
        <f>N35*O6</f>
        <v>485479.97045099997</v>
      </c>
      <c r="P35" s="377">
        <f>O35*P6</f>
        <v>48547.997045099997</v>
      </c>
      <c r="R35" s="538">
        <f t="shared" si="1"/>
        <v>8.4145132944309808E-2</v>
      </c>
    </row>
    <row r="36" spans="1:18" s="392" customFormat="1" ht="14.25" customHeight="1" outlineLevel="1">
      <c r="A36" s="319"/>
      <c r="B36" s="394" t="s">
        <v>201</v>
      </c>
      <c r="C36" s="394"/>
      <c r="D36" s="509">
        <v>88700</v>
      </c>
      <c r="E36" s="509">
        <f>D36*80%</f>
        <v>70960</v>
      </c>
      <c r="F36" s="506">
        <f>D36*20%</f>
        <v>17740</v>
      </c>
      <c r="G36" s="509">
        <v>59133.333333333336</v>
      </c>
      <c r="H36" s="514">
        <v>36032.639999999999</v>
      </c>
      <c r="I36" s="516">
        <f>G36*20%</f>
        <v>11826.666666666668</v>
      </c>
      <c r="J36" s="518">
        <v>56144.07</v>
      </c>
      <c r="K36" s="501"/>
      <c r="L36" s="192">
        <f t="shared" si="0"/>
        <v>84216.104999999996</v>
      </c>
      <c r="N36" s="393">
        <f>SUM(N37:N40)</f>
        <v>90000</v>
      </c>
      <c r="O36" s="507">
        <f>N36*O6</f>
        <v>81000</v>
      </c>
      <c r="P36" s="393">
        <f>O36*P6</f>
        <v>8100</v>
      </c>
      <c r="R36" s="538">
        <f t="shared" si="1"/>
        <v>1.4656144306651634E-2</v>
      </c>
    </row>
    <row r="37" spans="1:18" s="11" customFormat="1" ht="11.25" customHeight="1" outlineLevel="2">
      <c r="A37" s="26"/>
      <c r="B37" s="26"/>
      <c r="C37" s="26" t="s">
        <v>51</v>
      </c>
      <c r="D37" s="126">
        <v>71500</v>
      </c>
      <c r="E37" s="126">
        <f>D37*80%</f>
        <v>57200</v>
      </c>
      <c r="F37" s="486">
        <f>D37*20%</f>
        <v>14300</v>
      </c>
      <c r="G37" s="126">
        <v>47666.666666666664</v>
      </c>
      <c r="H37" s="477">
        <v>5374.92</v>
      </c>
      <c r="I37" s="524">
        <f>G37*20%</f>
        <v>9533.3333333333339</v>
      </c>
      <c r="J37" s="422">
        <v>36032.639999999999</v>
      </c>
      <c r="K37" s="486"/>
      <c r="L37" s="197">
        <f t="shared" si="0"/>
        <v>54048.959999999999</v>
      </c>
      <c r="N37" s="134">
        <f>60000</f>
        <v>60000</v>
      </c>
      <c r="O37" s="226">
        <f>N37*O6</f>
        <v>54000</v>
      </c>
      <c r="P37" s="134">
        <f>O37*P6</f>
        <v>5400</v>
      </c>
      <c r="Q37" s="9"/>
      <c r="R37" s="539">
        <f t="shared" si="1"/>
        <v>-0.16083916083916083</v>
      </c>
    </row>
    <row r="38" spans="1:18" s="11" customFormat="1" ht="11.25" customHeight="1" outlineLevel="2">
      <c r="A38" s="482"/>
      <c r="B38" s="26"/>
      <c r="C38" s="26" t="s">
        <v>148</v>
      </c>
      <c r="D38" s="126">
        <v>4500</v>
      </c>
      <c r="E38" s="489">
        <f t="shared" ref="E38:I38" si="7">SUM(E39:E60)</f>
        <v>106368</v>
      </c>
      <c r="F38" s="494">
        <f t="shared" si="7"/>
        <v>26592</v>
      </c>
      <c r="G38" s="126">
        <v>3000</v>
      </c>
      <c r="H38" s="490">
        <v>5654.58</v>
      </c>
      <c r="I38" s="495">
        <f t="shared" si="7"/>
        <v>17728</v>
      </c>
      <c r="J38" s="487">
        <v>5374.92</v>
      </c>
      <c r="K38" s="478"/>
      <c r="L38" s="197">
        <f t="shared" si="0"/>
        <v>8062.38</v>
      </c>
      <c r="N38" s="124">
        <v>8000</v>
      </c>
      <c r="O38" s="226">
        <f>N38*O6</f>
        <v>7200</v>
      </c>
      <c r="P38" s="134">
        <f>O38*P6</f>
        <v>720</v>
      </c>
      <c r="R38" s="539">
        <f t="shared" si="1"/>
        <v>0.77777777777777779</v>
      </c>
    </row>
    <row r="39" spans="1:18" s="11" customFormat="1" ht="11.25" customHeight="1" outlineLevel="2">
      <c r="A39" s="26"/>
      <c r="B39" s="26"/>
      <c r="C39" s="26" t="s">
        <v>149</v>
      </c>
      <c r="D39" s="126">
        <v>4700</v>
      </c>
      <c r="E39" s="126">
        <f t="shared" ref="E39:E61" si="8">D39*80%</f>
        <v>3760</v>
      </c>
      <c r="F39" s="486">
        <f t="shared" ref="F39:F61" si="9">D39*20%</f>
        <v>940</v>
      </c>
      <c r="G39" s="126">
        <v>3133.3333333333335</v>
      </c>
      <c r="H39" s="477">
        <v>9081.93</v>
      </c>
      <c r="I39" s="486">
        <f t="shared" ref="I39:I60" si="10">G39*20%</f>
        <v>626.66666666666674</v>
      </c>
      <c r="J39" s="422">
        <v>5654.58</v>
      </c>
      <c r="K39" s="478"/>
      <c r="L39" s="197">
        <f t="shared" si="0"/>
        <v>8481.869999999999</v>
      </c>
      <c r="N39" s="124">
        <v>8500</v>
      </c>
      <c r="O39" s="226">
        <f>N39*O6</f>
        <v>7650</v>
      </c>
      <c r="P39" s="134">
        <f>O39*P6</f>
        <v>765</v>
      </c>
      <c r="R39" s="539">
        <f t="shared" si="1"/>
        <v>0.80851063829787229</v>
      </c>
    </row>
    <row r="40" spans="1:18" s="11" customFormat="1" ht="11.25" customHeight="1" outlineLevel="2">
      <c r="A40" s="26"/>
      <c r="B40" s="26"/>
      <c r="C40" s="26" t="s">
        <v>54</v>
      </c>
      <c r="D40" s="126">
        <v>8000</v>
      </c>
      <c r="E40" s="126">
        <f t="shared" si="8"/>
        <v>6400</v>
      </c>
      <c r="F40" s="486">
        <f t="shared" si="9"/>
        <v>1600</v>
      </c>
      <c r="G40" s="126">
        <v>5333.333333333333</v>
      </c>
      <c r="H40" s="477">
        <v>73877.63</v>
      </c>
      <c r="I40" s="486">
        <f t="shared" si="10"/>
        <v>1066.6666666666667</v>
      </c>
      <c r="J40" s="422">
        <v>9081.93</v>
      </c>
      <c r="K40" s="478"/>
      <c r="L40" s="197">
        <f t="shared" si="0"/>
        <v>13622.895</v>
      </c>
      <c r="N40" s="124">
        <v>13500</v>
      </c>
      <c r="O40" s="226">
        <f>N40*O6</f>
        <v>12150</v>
      </c>
      <c r="P40" s="134">
        <f>O40*P6</f>
        <v>1215</v>
      </c>
      <c r="R40" s="539">
        <f t="shared" si="1"/>
        <v>0.6875</v>
      </c>
    </row>
    <row r="41" spans="1:18" s="395" customFormat="1" ht="11.25" customHeight="1" outlineLevel="2">
      <c r="A41" s="319"/>
      <c r="B41" s="394" t="s">
        <v>12</v>
      </c>
      <c r="C41" s="394"/>
      <c r="D41" s="509">
        <v>64280</v>
      </c>
      <c r="E41" s="509">
        <f t="shared" si="8"/>
        <v>51424</v>
      </c>
      <c r="F41" s="506">
        <f t="shared" si="9"/>
        <v>12856</v>
      </c>
      <c r="G41" s="509">
        <v>42853.333333333336</v>
      </c>
      <c r="H41" s="514"/>
      <c r="I41" s="516">
        <f t="shared" si="10"/>
        <v>8570.6666666666679</v>
      </c>
      <c r="J41" s="519">
        <v>73877.63</v>
      </c>
      <c r="K41" s="501"/>
      <c r="L41" s="192">
        <f t="shared" si="0"/>
        <v>110816.44500000001</v>
      </c>
      <c r="N41" s="396">
        <f>SUM(N42:N64)</f>
        <v>107150</v>
      </c>
      <c r="O41" s="511">
        <f>N41*O6</f>
        <v>96435</v>
      </c>
      <c r="P41" s="396">
        <f>O41*P6</f>
        <v>9643.5</v>
      </c>
      <c r="R41" s="538">
        <f t="shared" si="1"/>
        <v>0.66692594897324209</v>
      </c>
    </row>
    <row r="42" spans="1:18" s="11" customFormat="1" ht="11.25" customHeight="1" outlineLevel="2">
      <c r="A42" s="26"/>
      <c r="B42" s="26"/>
      <c r="C42" s="26" t="s">
        <v>112</v>
      </c>
      <c r="D42" s="126">
        <v>0</v>
      </c>
      <c r="E42" s="126">
        <f t="shared" si="8"/>
        <v>0</v>
      </c>
      <c r="F42" s="486">
        <f t="shared" si="9"/>
        <v>0</v>
      </c>
      <c r="G42" s="126">
        <v>0</v>
      </c>
      <c r="H42" s="477"/>
      <c r="I42" s="486">
        <f t="shared" si="10"/>
        <v>0</v>
      </c>
      <c r="J42" s="422"/>
      <c r="K42" s="478"/>
      <c r="L42" s="197">
        <f t="shared" si="0"/>
        <v>0</v>
      </c>
      <c r="N42" s="124"/>
      <c r="O42" s="128"/>
      <c r="P42" s="126"/>
      <c r="R42" s="539"/>
    </row>
    <row r="43" spans="1:18" s="590" customFormat="1" ht="11.25" customHeight="1" outlineLevel="2">
      <c r="A43" s="591"/>
      <c r="B43" s="591"/>
      <c r="C43" s="591" t="s">
        <v>150</v>
      </c>
      <c r="D43" s="126"/>
      <c r="E43" s="126">
        <f t="shared" si="8"/>
        <v>0</v>
      </c>
      <c r="F43" s="486">
        <f t="shared" si="9"/>
        <v>0</v>
      </c>
      <c r="G43" s="126">
        <v>0</v>
      </c>
      <c r="H43" s="477">
        <v>36653.26</v>
      </c>
      <c r="I43" s="486">
        <f t="shared" si="10"/>
        <v>0</v>
      </c>
      <c r="J43" s="422"/>
      <c r="K43" s="478"/>
      <c r="L43" s="197">
        <f t="shared" si="0"/>
        <v>0</v>
      </c>
      <c r="N43" s="422">
        <v>1250</v>
      </c>
      <c r="O43" s="476">
        <f>N43*O6</f>
        <v>1125</v>
      </c>
      <c r="P43" s="422">
        <f>O43*P6</f>
        <v>112.5</v>
      </c>
      <c r="R43" s="602"/>
    </row>
    <row r="44" spans="1:18" s="11" customFormat="1" ht="11.25" customHeight="1" outlineLevel="2">
      <c r="A44" s="26"/>
      <c r="B44" s="26"/>
      <c r="C44" s="26" t="s">
        <v>58</v>
      </c>
      <c r="D44" s="126">
        <v>18000</v>
      </c>
      <c r="E44" s="126">
        <f t="shared" si="8"/>
        <v>14400</v>
      </c>
      <c r="F44" s="486">
        <f t="shared" si="9"/>
        <v>3600</v>
      </c>
      <c r="G44" s="126">
        <v>12000</v>
      </c>
      <c r="H44" s="477">
        <v>14015.51</v>
      </c>
      <c r="I44" s="486">
        <f t="shared" si="10"/>
        <v>2400</v>
      </c>
      <c r="J44" s="422">
        <v>36653.26</v>
      </c>
      <c r="K44" s="478"/>
      <c r="L44" s="197">
        <f t="shared" si="0"/>
        <v>54979.89</v>
      </c>
      <c r="N44" s="124">
        <v>45000</v>
      </c>
      <c r="O44" s="128">
        <f>N44*O6</f>
        <v>40500</v>
      </c>
      <c r="P44" s="124">
        <f>O44*P6</f>
        <v>4050</v>
      </c>
      <c r="R44" s="539">
        <f t="shared" si="1"/>
        <v>1.5</v>
      </c>
    </row>
    <row r="45" spans="1:18" s="11" customFormat="1" ht="11.25" customHeight="1" outlineLevel="2">
      <c r="A45" s="26"/>
      <c r="B45" s="26"/>
      <c r="C45" s="26" t="s">
        <v>111</v>
      </c>
      <c r="D45" s="126">
        <v>15000</v>
      </c>
      <c r="E45" s="126">
        <f t="shared" si="8"/>
        <v>12000</v>
      </c>
      <c r="F45" s="486">
        <f t="shared" si="9"/>
        <v>3000</v>
      </c>
      <c r="G45" s="126">
        <v>10000</v>
      </c>
      <c r="H45" s="477">
        <v>21.21</v>
      </c>
      <c r="I45" s="486">
        <f t="shared" si="10"/>
        <v>2000</v>
      </c>
      <c r="J45" s="422">
        <v>14015.51</v>
      </c>
      <c r="K45" s="478"/>
      <c r="L45" s="197">
        <f t="shared" si="0"/>
        <v>21023.264999999999</v>
      </c>
      <c r="N45" s="124">
        <v>25000</v>
      </c>
      <c r="O45" s="128">
        <f>N45*O6</f>
        <v>22500</v>
      </c>
      <c r="P45" s="124">
        <f>O45*P6</f>
        <v>2250</v>
      </c>
      <c r="R45" s="539">
        <f t="shared" si="1"/>
        <v>0.66666666666666663</v>
      </c>
    </row>
    <row r="46" spans="1:18" s="11" customFormat="1" ht="11.25" customHeight="1" outlineLevel="2">
      <c r="A46" s="26"/>
      <c r="B46" s="26"/>
      <c r="C46" s="26" t="s">
        <v>151</v>
      </c>
      <c r="D46" s="126">
        <v>180</v>
      </c>
      <c r="E46" s="126">
        <f t="shared" si="8"/>
        <v>144</v>
      </c>
      <c r="F46" s="486">
        <f t="shared" si="9"/>
        <v>36</v>
      </c>
      <c r="G46" s="126">
        <v>120</v>
      </c>
      <c r="H46" s="477">
        <v>50.8</v>
      </c>
      <c r="I46" s="486">
        <f t="shared" si="10"/>
        <v>24</v>
      </c>
      <c r="J46" s="422">
        <v>21.21</v>
      </c>
      <c r="K46" s="478"/>
      <c r="L46" s="197">
        <f t="shared" si="0"/>
        <v>31.815000000000001</v>
      </c>
      <c r="N46" s="124">
        <v>100</v>
      </c>
      <c r="O46" s="128">
        <f>N46*O6</f>
        <v>90</v>
      </c>
      <c r="P46" s="124">
        <f>O46*P6</f>
        <v>9</v>
      </c>
      <c r="R46" s="539">
        <f t="shared" si="1"/>
        <v>-0.44444444444444442</v>
      </c>
    </row>
    <row r="47" spans="1:18" s="11" customFormat="1" ht="11.25" customHeight="1" outlineLevel="2">
      <c r="A47" s="26"/>
      <c r="B47" s="26"/>
      <c r="C47" s="26" t="s">
        <v>61</v>
      </c>
      <c r="D47" s="126">
        <v>0</v>
      </c>
      <c r="E47" s="126">
        <f t="shared" si="8"/>
        <v>0</v>
      </c>
      <c r="F47" s="486">
        <f t="shared" si="9"/>
        <v>0</v>
      </c>
      <c r="G47" s="126">
        <v>0</v>
      </c>
      <c r="H47" s="477">
        <v>1174.8800000000001</v>
      </c>
      <c r="I47" s="486">
        <f t="shared" si="10"/>
        <v>0</v>
      </c>
      <c r="J47" s="422">
        <v>50.8</v>
      </c>
      <c r="K47" s="478"/>
      <c r="L47" s="197">
        <f t="shared" si="0"/>
        <v>76.199999999999989</v>
      </c>
      <c r="N47" s="124"/>
      <c r="O47" s="128"/>
      <c r="P47" s="124"/>
      <c r="R47" s="539"/>
    </row>
    <row r="48" spans="1:18" s="11" customFormat="1" ht="11.25" customHeight="1" outlineLevel="2">
      <c r="A48" s="26"/>
      <c r="B48" s="26"/>
      <c r="C48" s="26" t="s">
        <v>152</v>
      </c>
      <c r="D48" s="126">
        <v>600</v>
      </c>
      <c r="E48" s="126">
        <f t="shared" si="8"/>
        <v>480</v>
      </c>
      <c r="F48" s="486">
        <f t="shared" si="9"/>
        <v>120</v>
      </c>
      <c r="G48" s="422">
        <v>400</v>
      </c>
      <c r="H48" s="477"/>
      <c r="I48" s="486">
        <f t="shared" si="10"/>
        <v>80</v>
      </c>
      <c r="J48" s="422">
        <v>1174.8800000000001</v>
      </c>
      <c r="K48" s="478"/>
      <c r="L48" s="197">
        <f t="shared" si="0"/>
        <v>1762.3200000000002</v>
      </c>
      <c r="N48" s="124">
        <v>1500</v>
      </c>
      <c r="O48" s="128">
        <f>N48*O6</f>
        <v>1350</v>
      </c>
      <c r="P48" s="124">
        <f>O48*P6</f>
        <v>135</v>
      </c>
      <c r="R48" s="539">
        <f t="shared" si="1"/>
        <v>1.5</v>
      </c>
    </row>
    <row r="49" spans="1:18" s="11" customFormat="1" ht="11.25" customHeight="1" outlineLevel="2">
      <c r="A49" s="26"/>
      <c r="B49" s="26"/>
      <c r="C49" s="26" t="s">
        <v>107</v>
      </c>
      <c r="D49" s="422">
        <v>0</v>
      </c>
      <c r="E49" s="126">
        <f t="shared" si="8"/>
        <v>0</v>
      </c>
      <c r="F49" s="486">
        <f t="shared" si="9"/>
        <v>0</v>
      </c>
      <c r="G49" s="126">
        <v>0</v>
      </c>
      <c r="H49" s="477">
        <v>422.68</v>
      </c>
      <c r="I49" s="486">
        <f t="shared" si="10"/>
        <v>0</v>
      </c>
      <c r="J49" s="422"/>
      <c r="K49" s="478"/>
      <c r="L49" s="197">
        <f t="shared" si="0"/>
        <v>0</v>
      </c>
      <c r="N49" s="124"/>
      <c r="O49" s="128"/>
      <c r="P49" s="124"/>
      <c r="R49" s="539"/>
    </row>
    <row r="50" spans="1:18" s="11" customFormat="1" ht="11.25" customHeight="1" outlineLevel="2">
      <c r="A50" s="26"/>
      <c r="B50" s="26"/>
      <c r="C50" s="26" t="s">
        <v>153</v>
      </c>
      <c r="D50" s="126">
        <v>500</v>
      </c>
      <c r="E50" s="126">
        <f t="shared" si="8"/>
        <v>400</v>
      </c>
      <c r="F50" s="486">
        <f t="shared" si="9"/>
        <v>100</v>
      </c>
      <c r="G50" s="126">
        <v>333.33333333333331</v>
      </c>
      <c r="H50" s="477">
        <v>79</v>
      </c>
      <c r="I50" s="486">
        <f t="shared" si="10"/>
        <v>66.666666666666671</v>
      </c>
      <c r="J50" s="422">
        <v>422.68</v>
      </c>
      <c r="K50" s="478"/>
      <c r="L50" s="197">
        <f t="shared" si="0"/>
        <v>634.02</v>
      </c>
      <c r="N50" s="124">
        <v>600</v>
      </c>
      <c r="O50" s="128">
        <f>N50*O6</f>
        <v>540</v>
      </c>
      <c r="P50" s="124">
        <f>O50*P6</f>
        <v>54</v>
      </c>
      <c r="R50" s="539">
        <f t="shared" si="1"/>
        <v>0.2</v>
      </c>
    </row>
    <row r="51" spans="1:18" s="11" customFormat="1" ht="11.25" customHeight="1" outlineLevel="2">
      <c r="A51" s="26"/>
      <c r="B51" s="26"/>
      <c r="C51" s="26" t="s">
        <v>65</v>
      </c>
      <c r="D51" s="126">
        <v>300</v>
      </c>
      <c r="E51" s="126">
        <f t="shared" si="8"/>
        <v>240</v>
      </c>
      <c r="F51" s="486">
        <f t="shared" si="9"/>
        <v>60</v>
      </c>
      <c r="G51" s="126">
        <v>200</v>
      </c>
      <c r="H51" s="477">
        <v>4295.25</v>
      </c>
      <c r="I51" s="486">
        <f t="shared" si="10"/>
        <v>40</v>
      </c>
      <c r="J51" s="422">
        <v>79</v>
      </c>
      <c r="K51" s="478"/>
      <c r="L51" s="197">
        <f t="shared" si="0"/>
        <v>118.5</v>
      </c>
      <c r="N51" s="124">
        <v>400</v>
      </c>
      <c r="O51" s="128">
        <f>N51*O6</f>
        <v>360</v>
      </c>
      <c r="P51" s="124">
        <f>O51*P6</f>
        <v>36</v>
      </c>
      <c r="R51" s="539">
        <f t="shared" si="1"/>
        <v>0.33333333333333331</v>
      </c>
    </row>
    <row r="52" spans="1:18" s="11" customFormat="1" ht="11.25" customHeight="1" outlineLevel="2">
      <c r="A52" s="26"/>
      <c r="B52" s="26"/>
      <c r="C52" s="26" t="s">
        <v>66</v>
      </c>
      <c r="D52" s="126">
        <v>5200</v>
      </c>
      <c r="E52" s="126">
        <f t="shared" si="8"/>
        <v>4160</v>
      </c>
      <c r="F52" s="486">
        <f t="shared" si="9"/>
        <v>1040</v>
      </c>
      <c r="G52" s="126">
        <v>3466.6666666666665</v>
      </c>
      <c r="H52" s="477">
        <v>4420.18</v>
      </c>
      <c r="I52" s="486">
        <f t="shared" si="10"/>
        <v>693.33333333333337</v>
      </c>
      <c r="J52" s="422">
        <v>4295.25</v>
      </c>
      <c r="K52" s="478"/>
      <c r="L52" s="197">
        <f t="shared" si="0"/>
        <v>6442.875</v>
      </c>
      <c r="N52" s="124">
        <v>6500</v>
      </c>
      <c r="O52" s="128">
        <f>N52*O6</f>
        <v>5850</v>
      </c>
      <c r="P52" s="124">
        <f>O52*P6</f>
        <v>585</v>
      </c>
      <c r="R52" s="539">
        <f t="shared" si="1"/>
        <v>0.25</v>
      </c>
    </row>
    <row r="53" spans="1:18" s="11" customFormat="1" ht="11.25" customHeight="1" outlineLevel="2">
      <c r="A53" s="26"/>
      <c r="B53" s="26"/>
      <c r="C53" s="26" t="s">
        <v>67</v>
      </c>
      <c r="D53" s="126">
        <v>4100</v>
      </c>
      <c r="E53" s="126">
        <f t="shared" si="8"/>
        <v>3280</v>
      </c>
      <c r="F53" s="486">
        <f t="shared" si="9"/>
        <v>820</v>
      </c>
      <c r="G53" s="126">
        <v>2733.3333333333335</v>
      </c>
      <c r="H53" s="477">
        <v>2659.19</v>
      </c>
      <c r="I53" s="486">
        <f t="shared" si="10"/>
        <v>546.66666666666674</v>
      </c>
      <c r="J53" s="422">
        <v>4420.18</v>
      </c>
      <c r="K53" s="478"/>
      <c r="L53" s="197">
        <f t="shared" si="0"/>
        <v>6630.27</v>
      </c>
      <c r="N53" s="124">
        <v>7000</v>
      </c>
      <c r="O53" s="128">
        <f>N53*O6</f>
        <v>6300</v>
      </c>
      <c r="P53" s="124">
        <f>O53*P6</f>
        <v>630</v>
      </c>
      <c r="R53" s="539">
        <f t="shared" si="1"/>
        <v>0.70731707317073167</v>
      </c>
    </row>
    <row r="54" spans="1:18" s="11" customFormat="1" ht="11.25" customHeight="1" outlineLevel="2">
      <c r="A54" s="26"/>
      <c r="B54" s="26"/>
      <c r="C54" s="26" t="s">
        <v>68</v>
      </c>
      <c r="D54" s="126">
        <v>3700</v>
      </c>
      <c r="E54" s="126">
        <f t="shared" si="8"/>
        <v>2960</v>
      </c>
      <c r="F54" s="486">
        <f t="shared" si="9"/>
        <v>740</v>
      </c>
      <c r="G54" s="126">
        <v>2466.6666666666665</v>
      </c>
      <c r="H54" s="477">
        <v>2671.2</v>
      </c>
      <c r="I54" s="486">
        <f t="shared" si="10"/>
        <v>493.33333333333331</v>
      </c>
      <c r="J54" s="422">
        <v>2659.19</v>
      </c>
      <c r="K54" s="478"/>
      <c r="L54" s="197">
        <f t="shared" si="0"/>
        <v>3988.7849999999999</v>
      </c>
      <c r="N54" s="124">
        <v>4000</v>
      </c>
      <c r="O54" s="128">
        <f>N54*O6</f>
        <v>3600</v>
      </c>
      <c r="P54" s="124">
        <f>O54*P6</f>
        <v>360</v>
      </c>
      <c r="R54" s="539">
        <f t="shared" si="1"/>
        <v>8.1081081081081086E-2</v>
      </c>
    </row>
    <row r="55" spans="1:18" s="11" customFormat="1" ht="11.25" customHeight="1" outlineLevel="2">
      <c r="A55" s="26"/>
      <c r="B55" s="26"/>
      <c r="C55" s="26" t="s">
        <v>69</v>
      </c>
      <c r="D55" s="126">
        <v>4000</v>
      </c>
      <c r="E55" s="126">
        <f t="shared" si="8"/>
        <v>3200</v>
      </c>
      <c r="F55" s="486">
        <f t="shared" si="9"/>
        <v>800</v>
      </c>
      <c r="G55" s="126">
        <v>2666.6666666666665</v>
      </c>
      <c r="H55" s="477">
        <v>1245.75</v>
      </c>
      <c r="I55" s="486">
        <f t="shared" si="10"/>
        <v>533.33333333333337</v>
      </c>
      <c r="J55" s="422">
        <v>2671.2</v>
      </c>
      <c r="K55" s="478"/>
      <c r="L55" s="197">
        <f t="shared" si="0"/>
        <v>4006.7999999999997</v>
      </c>
      <c r="N55" s="124">
        <v>4000</v>
      </c>
      <c r="O55" s="128">
        <f>N55*O6</f>
        <v>3600</v>
      </c>
      <c r="P55" s="124">
        <f>O55*P6</f>
        <v>360</v>
      </c>
      <c r="R55" s="539">
        <f t="shared" si="1"/>
        <v>0</v>
      </c>
    </row>
    <row r="56" spans="1:18" s="11" customFormat="1" ht="11.25" customHeight="1" outlineLevel="2">
      <c r="A56" s="26"/>
      <c r="B56" s="26"/>
      <c r="C56" s="26" t="s">
        <v>154</v>
      </c>
      <c r="D56" s="126">
        <v>2000</v>
      </c>
      <c r="E56" s="126">
        <f t="shared" si="8"/>
        <v>1600</v>
      </c>
      <c r="F56" s="486">
        <f t="shared" si="9"/>
        <v>400</v>
      </c>
      <c r="G56" s="126">
        <v>1333.3333333333333</v>
      </c>
      <c r="H56" s="477"/>
      <c r="I56" s="486">
        <f t="shared" si="10"/>
        <v>266.66666666666669</v>
      </c>
      <c r="J56" s="422">
        <v>1245.75</v>
      </c>
      <c r="K56" s="478"/>
      <c r="L56" s="197">
        <f t="shared" si="0"/>
        <v>1868.625</v>
      </c>
      <c r="N56" s="124">
        <v>2000</v>
      </c>
      <c r="O56" s="128">
        <f>N56*O6</f>
        <v>1800</v>
      </c>
      <c r="P56" s="124">
        <f>O56*P6</f>
        <v>180</v>
      </c>
      <c r="R56" s="539">
        <f t="shared" si="1"/>
        <v>0</v>
      </c>
    </row>
    <row r="57" spans="1:18" s="11" customFormat="1" ht="11.25" customHeight="1" outlineLevel="2">
      <c r="A57" s="26"/>
      <c r="B57" s="26"/>
      <c r="C57" s="26" t="s">
        <v>155</v>
      </c>
      <c r="D57" s="126">
        <v>0</v>
      </c>
      <c r="E57" s="126">
        <f t="shared" si="8"/>
        <v>0</v>
      </c>
      <c r="F57" s="486">
        <f t="shared" si="9"/>
        <v>0</v>
      </c>
      <c r="G57" s="126">
        <v>0</v>
      </c>
      <c r="H57" s="477">
        <v>92.51</v>
      </c>
      <c r="I57" s="486">
        <f t="shared" si="10"/>
        <v>0</v>
      </c>
      <c r="J57" s="422"/>
      <c r="K57" s="478"/>
      <c r="L57" s="197">
        <f t="shared" si="0"/>
        <v>0</v>
      </c>
      <c r="N57" s="124"/>
      <c r="O57" s="128"/>
      <c r="P57" s="124"/>
      <c r="R57" s="539"/>
    </row>
    <row r="58" spans="1:18" s="11" customFormat="1" ht="11.25" customHeight="1" outlineLevel="2">
      <c r="A58" s="26"/>
      <c r="B58" s="26"/>
      <c r="C58" s="26" t="s">
        <v>73</v>
      </c>
      <c r="D58" s="126">
        <v>0</v>
      </c>
      <c r="E58" s="126">
        <f t="shared" si="8"/>
        <v>0</v>
      </c>
      <c r="F58" s="486">
        <f t="shared" si="9"/>
        <v>0</v>
      </c>
      <c r="G58" s="126">
        <v>0</v>
      </c>
      <c r="H58" s="477">
        <v>1252.52</v>
      </c>
      <c r="I58" s="486">
        <f t="shared" si="10"/>
        <v>0</v>
      </c>
      <c r="J58" s="422">
        <v>92.51</v>
      </c>
      <c r="K58" s="478"/>
      <c r="L58" s="197">
        <f t="shared" si="0"/>
        <v>138.76500000000001</v>
      </c>
      <c r="N58" s="124">
        <v>150</v>
      </c>
      <c r="O58" s="128">
        <f>N58*O6</f>
        <v>135</v>
      </c>
      <c r="P58" s="124">
        <f>O58*P6</f>
        <v>13.5</v>
      </c>
      <c r="R58" s="539"/>
    </row>
    <row r="59" spans="1:18" s="11" customFormat="1" ht="11.25" customHeight="1" outlineLevel="2">
      <c r="A59" s="26"/>
      <c r="B59" s="26"/>
      <c r="C59" s="26" t="s">
        <v>74</v>
      </c>
      <c r="D59" s="126">
        <v>2000</v>
      </c>
      <c r="E59" s="126">
        <f t="shared" si="8"/>
        <v>1600</v>
      </c>
      <c r="F59" s="486">
        <f t="shared" si="9"/>
        <v>400</v>
      </c>
      <c r="G59" s="126">
        <v>1333.3333333333333</v>
      </c>
      <c r="H59" s="477"/>
      <c r="I59" s="486">
        <f t="shared" si="10"/>
        <v>266.66666666666669</v>
      </c>
      <c r="J59" s="422">
        <v>1252.52</v>
      </c>
      <c r="K59" s="478"/>
      <c r="L59" s="197">
        <f t="shared" si="0"/>
        <v>1878.78</v>
      </c>
      <c r="N59" s="124">
        <v>2000</v>
      </c>
      <c r="O59" s="128">
        <f>N59*O6</f>
        <v>1800</v>
      </c>
      <c r="P59" s="124">
        <f>O59*P6</f>
        <v>180</v>
      </c>
      <c r="R59" s="539">
        <f t="shared" si="1"/>
        <v>0</v>
      </c>
    </row>
    <row r="60" spans="1:18" s="415" customFormat="1" ht="14.25" customHeight="1" outlineLevel="1">
      <c r="A60" s="26"/>
      <c r="B60" s="26"/>
      <c r="C60" s="26" t="s">
        <v>156</v>
      </c>
      <c r="D60" s="126">
        <v>400</v>
      </c>
      <c r="E60" s="126">
        <f t="shared" si="8"/>
        <v>320</v>
      </c>
      <c r="F60" s="486">
        <f t="shared" si="9"/>
        <v>80</v>
      </c>
      <c r="G60" s="126">
        <v>266.66666666666669</v>
      </c>
      <c r="H60" s="477">
        <v>349.69</v>
      </c>
      <c r="I60" s="486">
        <f t="shared" si="10"/>
        <v>53.333333333333343</v>
      </c>
      <c r="J60" s="422"/>
      <c r="K60" s="478"/>
      <c r="L60" s="197">
        <f t="shared" si="0"/>
        <v>0</v>
      </c>
      <c r="N60" s="348"/>
      <c r="O60" s="128"/>
      <c r="P60" s="124"/>
      <c r="R60" s="539">
        <f t="shared" si="1"/>
        <v>-1</v>
      </c>
    </row>
    <row r="61" spans="1:18" s="11" customFormat="1" ht="11.25" customHeight="1" outlineLevel="2">
      <c r="A61" s="491"/>
      <c r="B61" s="26"/>
      <c r="C61" s="26" t="s">
        <v>157</v>
      </c>
      <c r="D61" s="126">
        <v>300</v>
      </c>
      <c r="E61" s="126">
        <f t="shared" si="8"/>
        <v>240</v>
      </c>
      <c r="F61" s="486">
        <f t="shared" si="9"/>
        <v>60</v>
      </c>
      <c r="G61" s="126">
        <v>200</v>
      </c>
      <c r="H61" s="492">
        <v>4440</v>
      </c>
      <c r="I61" s="493">
        <f t="shared" ref="I61" si="11">SUM(I62:I69)</f>
        <v>88473.421333333332</v>
      </c>
      <c r="J61" s="487">
        <v>349.69</v>
      </c>
      <c r="K61" s="478"/>
      <c r="L61" s="197">
        <f t="shared" si="0"/>
        <v>524.53499999999997</v>
      </c>
      <c r="N61" s="124">
        <v>600</v>
      </c>
      <c r="O61" s="128">
        <f>N61*O6</f>
        <v>540</v>
      </c>
      <c r="P61" s="124">
        <f>O61*P6</f>
        <v>54</v>
      </c>
      <c r="R61" s="539">
        <f t="shared" si="1"/>
        <v>1</v>
      </c>
    </row>
    <row r="62" spans="1:18" s="11" customFormat="1" ht="11.25" customHeight="1" outlineLevel="2">
      <c r="A62" s="26"/>
      <c r="B62" s="26"/>
      <c r="C62" s="26" t="s">
        <v>158</v>
      </c>
      <c r="D62" s="126">
        <v>8000</v>
      </c>
      <c r="E62" s="126">
        <f t="shared" ref="E62:E69" si="12">D62*80%</f>
        <v>6400</v>
      </c>
      <c r="F62" s="486">
        <f t="shared" ref="F62:F69" si="13">D62*20%</f>
        <v>1600</v>
      </c>
      <c r="G62" s="126">
        <v>5333.333333333333</v>
      </c>
      <c r="H62" s="477">
        <v>34</v>
      </c>
      <c r="I62" s="486">
        <f t="shared" ref="I62:I69" si="14">G62*20%</f>
        <v>1066.6666666666667</v>
      </c>
      <c r="J62" s="422">
        <v>4440</v>
      </c>
      <c r="K62" s="478"/>
      <c r="L62" s="197">
        <f t="shared" si="0"/>
        <v>6660</v>
      </c>
      <c r="N62" s="124">
        <v>7000</v>
      </c>
      <c r="O62" s="128">
        <f>N62*O6</f>
        <v>6300</v>
      </c>
      <c r="P62" s="124">
        <f>O62*P6</f>
        <v>630</v>
      </c>
      <c r="R62" s="539">
        <f t="shared" si="1"/>
        <v>-0.125</v>
      </c>
    </row>
    <row r="63" spans="1:18" s="11" customFormat="1" ht="11.25" customHeight="1" outlineLevel="2">
      <c r="A63" s="26"/>
      <c r="B63" s="26"/>
      <c r="C63" s="26" t="s">
        <v>78</v>
      </c>
      <c r="D63" s="126">
        <v>0</v>
      </c>
      <c r="E63" s="126">
        <f t="shared" si="12"/>
        <v>0</v>
      </c>
      <c r="F63" s="486">
        <f t="shared" si="13"/>
        <v>0</v>
      </c>
      <c r="G63" s="126">
        <v>0</v>
      </c>
      <c r="H63" s="477"/>
      <c r="I63" s="486">
        <f t="shared" si="14"/>
        <v>0</v>
      </c>
      <c r="J63" s="422">
        <v>34</v>
      </c>
      <c r="K63" s="478"/>
      <c r="L63" s="197">
        <f t="shared" si="0"/>
        <v>51</v>
      </c>
      <c r="N63" s="124">
        <v>50</v>
      </c>
      <c r="O63" s="128">
        <f>N63*O6</f>
        <v>45</v>
      </c>
      <c r="P63" s="124">
        <f>O63*P6</f>
        <v>4.5</v>
      </c>
      <c r="R63" s="539"/>
    </row>
    <row r="64" spans="1:18" s="11" customFormat="1" ht="11.25" customHeight="1" outlineLevel="2">
      <c r="A64" s="26"/>
      <c r="B64" s="26"/>
      <c r="C64" s="26" t="s">
        <v>61</v>
      </c>
      <c r="D64" s="126">
        <v>0</v>
      </c>
      <c r="E64" s="126">
        <f t="shared" si="12"/>
        <v>0</v>
      </c>
      <c r="F64" s="486">
        <f t="shared" si="13"/>
        <v>0</v>
      </c>
      <c r="G64" s="126">
        <v>0</v>
      </c>
      <c r="H64" s="477">
        <v>163496.33999999997</v>
      </c>
      <c r="I64" s="486">
        <f t="shared" si="14"/>
        <v>0</v>
      </c>
      <c r="J64" s="422"/>
      <c r="K64" s="478"/>
      <c r="L64" s="197">
        <f t="shared" si="0"/>
        <v>0</v>
      </c>
      <c r="N64" s="124"/>
      <c r="O64" s="128"/>
      <c r="P64" s="126"/>
      <c r="R64" s="539"/>
    </row>
    <row r="65" spans="1:20" s="395" customFormat="1" ht="11.25" customHeight="1" outlineLevel="2">
      <c r="A65" s="319"/>
      <c r="B65" s="394" t="s">
        <v>13</v>
      </c>
      <c r="C65" s="394"/>
      <c r="D65" s="509">
        <v>329575.33</v>
      </c>
      <c r="E65" s="509">
        <f t="shared" si="12"/>
        <v>263660.26400000002</v>
      </c>
      <c r="F65" s="506">
        <f t="shared" si="13"/>
        <v>65915.066000000006</v>
      </c>
      <c r="G65" s="509">
        <v>219716.88666666669</v>
      </c>
      <c r="H65" s="514">
        <v>133092.54999999999</v>
      </c>
      <c r="I65" s="516">
        <f t="shared" si="14"/>
        <v>43943.377333333337</v>
      </c>
      <c r="J65" s="518">
        <v>163496.33999999997</v>
      </c>
      <c r="K65" s="501"/>
      <c r="L65" s="192">
        <f t="shared" si="0"/>
        <v>245244.50999999995</v>
      </c>
      <c r="N65" s="396">
        <f>SUM(N66:N73)</f>
        <v>331272.18939000001</v>
      </c>
      <c r="O65" s="511">
        <f>N65*O6</f>
        <v>298144.97045100003</v>
      </c>
      <c r="P65" s="509">
        <f>N65*P6</f>
        <v>33127.218939000006</v>
      </c>
      <c r="R65" s="538">
        <f t="shared" si="1"/>
        <v>5.1486238062782115E-3</v>
      </c>
      <c r="T65" s="319" t="s">
        <v>245</v>
      </c>
    </row>
    <row r="66" spans="1:20" s="11" customFormat="1" ht="11.25" customHeight="1" outlineLevel="2">
      <c r="A66" s="26"/>
      <c r="B66" s="26"/>
      <c r="C66" s="26" t="s">
        <v>79</v>
      </c>
      <c r="D66" s="126">
        <v>262671.5</v>
      </c>
      <c r="E66" s="122">
        <f t="shared" si="12"/>
        <v>210137.2</v>
      </c>
      <c r="F66" s="469">
        <f t="shared" si="13"/>
        <v>52534.3</v>
      </c>
      <c r="G66" s="126">
        <v>175114.33333333334</v>
      </c>
      <c r="H66" s="470"/>
      <c r="I66" s="469">
        <f t="shared" si="14"/>
        <v>35022.866666666669</v>
      </c>
      <c r="J66" s="422">
        <v>133092.54999999999</v>
      </c>
      <c r="K66" s="478"/>
      <c r="L66" s="197">
        <f t="shared" si="0"/>
        <v>199638.82499999998</v>
      </c>
      <c r="N66" s="124">
        <f>D66*1.02</f>
        <v>267924.93</v>
      </c>
      <c r="O66" s="128">
        <f>N66*O6</f>
        <v>241132.43700000001</v>
      </c>
      <c r="P66" s="124">
        <f>O66*P6</f>
        <v>24113.243700000003</v>
      </c>
      <c r="R66" s="539">
        <f t="shared" si="1"/>
        <v>1.9999999999999973E-2</v>
      </c>
    </row>
    <row r="67" spans="1:20" s="11" customFormat="1" ht="11.25" customHeight="1" outlineLevel="2">
      <c r="A67" s="26"/>
      <c r="B67" s="26"/>
      <c r="C67" s="26" t="s">
        <v>80</v>
      </c>
      <c r="D67" s="126">
        <v>0</v>
      </c>
      <c r="E67" s="122">
        <f t="shared" si="12"/>
        <v>0</v>
      </c>
      <c r="F67" s="469">
        <f t="shared" si="13"/>
        <v>0</v>
      </c>
      <c r="G67" s="126">
        <v>0</v>
      </c>
      <c r="H67" s="470">
        <v>27308.93</v>
      </c>
      <c r="I67" s="469">
        <f t="shared" si="14"/>
        <v>0</v>
      </c>
      <c r="J67" s="422"/>
      <c r="K67" s="478"/>
      <c r="L67" s="197">
        <f t="shared" si="0"/>
        <v>0</v>
      </c>
      <c r="N67" s="124"/>
      <c r="O67" s="128"/>
      <c r="P67" s="475"/>
      <c r="R67" s="539"/>
    </row>
    <row r="68" spans="1:20" s="11" customFormat="1" ht="11.25" customHeight="1" outlineLevel="2">
      <c r="A68" s="26"/>
      <c r="B68" s="26"/>
      <c r="C68" s="26" t="s">
        <v>159</v>
      </c>
      <c r="D68" s="126">
        <v>58575.74</v>
      </c>
      <c r="E68" s="122">
        <f t="shared" si="12"/>
        <v>46860.592000000004</v>
      </c>
      <c r="F68" s="469">
        <f t="shared" si="13"/>
        <v>11715.148000000001</v>
      </c>
      <c r="G68" s="126">
        <v>39050.493333333332</v>
      </c>
      <c r="H68" s="470">
        <v>1595.46</v>
      </c>
      <c r="I68" s="469">
        <f t="shared" si="14"/>
        <v>7810.0986666666668</v>
      </c>
      <c r="J68" s="422">
        <v>27308.93</v>
      </c>
      <c r="K68" s="478"/>
      <c r="L68" s="197">
        <f t="shared" si="0"/>
        <v>40963.395000000004</v>
      </c>
      <c r="N68" s="124">
        <f>N66*0.223</f>
        <v>59747.259389999999</v>
      </c>
      <c r="O68" s="128">
        <f>N68*O6</f>
        <v>53772.533451000003</v>
      </c>
      <c r="P68" s="124">
        <f>O68*P6</f>
        <v>5377.2533451000008</v>
      </c>
      <c r="R68" s="539">
        <f t="shared" si="1"/>
        <v>2.0000078360085615E-2</v>
      </c>
    </row>
    <row r="69" spans="1:20" s="13" customFormat="1" ht="14.25" customHeight="1" outlineLevel="1">
      <c r="A69" s="26"/>
      <c r="B69" s="26"/>
      <c r="C69" s="26" t="s">
        <v>160</v>
      </c>
      <c r="D69" s="126">
        <v>4728.09</v>
      </c>
      <c r="E69" s="122">
        <f t="shared" si="12"/>
        <v>3782.4720000000002</v>
      </c>
      <c r="F69" s="469">
        <f t="shared" si="13"/>
        <v>945.61800000000005</v>
      </c>
      <c r="G69" s="126">
        <v>3152.06</v>
      </c>
      <c r="H69" s="470">
        <v>1150</v>
      </c>
      <c r="I69" s="469">
        <f t="shared" si="14"/>
        <v>630.41200000000003</v>
      </c>
      <c r="J69" s="422">
        <v>1595.46</v>
      </c>
      <c r="K69" s="478"/>
      <c r="L69" s="197">
        <f t="shared" si="0"/>
        <v>2393.19</v>
      </c>
      <c r="N69" s="348">
        <v>1600</v>
      </c>
      <c r="O69" s="128">
        <f>N69*O6</f>
        <v>1440</v>
      </c>
      <c r="P69" s="124">
        <f>O69*P6</f>
        <v>144</v>
      </c>
      <c r="R69" s="539">
        <f t="shared" si="1"/>
        <v>-0.6615969662168022</v>
      </c>
    </row>
    <row r="70" spans="1:20" s="11" customFormat="1" ht="11.25" customHeight="1" outlineLevel="2">
      <c r="A70" s="491"/>
      <c r="B70" s="26"/>
      <c r="C70" s="26" t="s">
        <v>86</v>
      </c>
      <c r="D70" s="126">
        <v>2600</v>
      </c>
      <c r="E70" s="489">
        <f>SUM(E71)</f>
        <v>400</v>
      </c>
      <c r="F70" s="494">
        <f>SUM(F71)</f>
        <v>100</v>
      </c>
      <c r="G70" s="126">
        <v>1733.3333333333333</v>
      </c>
      <c r="H70" s="494"/>
      <c r="I70" s="495">
        <f>SUM(I71)</f>
        <v>66.666666666666671</v>
      </c>
      <c r="J70" s="487">
        <v>1150</v>
      </c>
      <c r="K70" s="478"/>
      <c r="L70" s="197">
        <f t="shared" si="0"/>
        <v>1725</v>
      </c>
      <c r="N70" s="124">
        <v>400</v>
      </c>
      <c r="O70" s="128">
        <f>N70*O6</f>
        <v>360</v>
      </c>
      <c r="P70" s="124">
        <f>O70*P6</f>
        <v>36</v>
      </c>
      <c r="R70" s="539">
        <f t="shared" si="1"/>
        <v>-0.84615384615384615</v>
      </c>
    </row>
    <row r="71" spans="1:20" s="14" customFormat="1" ht="14.25" customHeight="1" outlineLevel="1">
      <c r="A71" s="26"/>
      <c r="B71" s="26"/>
      <c r="C71" s="26" t="s">
        <v>161</v>
      </c>
      <c r="D71" s="122">
        <v>500</v>
      </c>
      <c r="E71" s="122">
        <f>D71*80%</f>
        <v>400</v>
      </c>
      <c r="F71" s="469">
        <f>D71*20%</f>
        <v>100</v>
      </c>
      <c r="G71" s="122">
        <v>333.33333333333331</v>
      </c>
      <c r="H71" s="470">
        <v>349.4</v>
      </c>
      <c r="I71" s="469">
        <f>G71*20%</f>
        <v>66.666666666666671</v>
      </c>
      <c r="J71" s="422"/>
      <c r="K71" s="478"/>
      <c r="L71" s="197">
        <f t="shared" ref="L71:L82" si="15">J71/8*12</f>
        <v>0</v>
      </c>
      <c r="N71" s="124">
        <v>1000</v>
      </c>
      <c r="O71" s="128">
        <f>N71*O6</f>
        <v>900</v>
      </c>
      <c r="P71" s="124">
        <f>O71*P6</f>
        <v>90</v>
      </c>
      <c r="R71" s="539">
        <f t="shared" ref="R71:R77" si="16">(N71-D71)/D71</f>
        <v>1</v>
      </c>
    </row>
    <row r="72" spans="1:20" s="11" customFormat="1" ht="12" customHeight="1" outlineLevel="2">
      <c r="A72" s="26"/>
      <c r="B72" s="26"/>
      <c r="C72" s="26" t="s">
        <v>85</v>
      </c>
      <c r="D72" s="126">
        <v>500</v>
      </c>
      <c r="E72" s="489">
        <f>SUM(E73:E73)</f>
        <v>0</v>
      </c>
      <c r="F72" s="494">
        <f>SUM(F73:F73)</f>
        <v>0</v>
      </c>
      <c r="G72" s="126">
        <v>333.33333333333331</v>
      </c>
      <c r="H72" s="494"/>
      <c r="I72" s="495">
        <f>SUM(I73:I73)</f>
        <v>0</v>
      </c>
      <c r="J72" s="487">
        <v>349.4</v>
      </c>
      <c r="K72" s="478"/>
      <c r="L72" s="197">
        <f t="shared" si="15"/>
        <v>524.09999999999991</v>
      </c>
      <c r="N72" s="124">
        <v>600</v>
      </c>
      <c r="O72" s="128">
        <f>N72*O6</f>
        <v>540</v>
      </c>
      <c r="P72" s="124">
        <f>O72*P6</f>
        <v>54</v>
      </c>
      <c r="R72" s="539">
        <f t="shared" si="16"/>
        <v>0.2</v>
      </c>
    </row>
    <row r="73" spans="1:20" ht="12" customHeight="1">
      <c r="A73" s="26"/>
      <c r="B73" s="26"/>
      <c r="C73" s="26" t="s">
        <v>221</v>
      </c>
      <c r="D73" s="122">
        <v>0</v>
      </c>
      <c r="E73" s="122">
        <f>D73*80%</f>
        <v>0</v>
      </c>
      <c r="F73" s="469">
        <f>D73*20%</f>
        <v>0</v>
      </c>
      <c r="G73" s="122">
        <v>0</v>
      </c>
      <c r="H73" s="470">
        <v>554</v>
      </c>
      <c r="I73" s="469">
        <f>G73*20%</f>
        <v>0</v>
      </c>
      <c r="J73" s="480"/>
      <c r="K73" s="478"/>
      <c r="L73" s="197">
        <f t="shared" si="15"/>
        <v>0</v>
      </c>
      <c r="M73" s="5"/>
      <c r="N73" s="124"/>
      <c r="O73" s="128"/>
      <c r="P73" s="475"/>
      <c r="R73" s="539"/>
    </row>
    <row r="74" spans="1:20" s="521" customFormat="1" ht="12" customHeight="1">
      <c r="A74" s="520"/>
      <c r="B74" s="394" t="s">
        <v>87</v>
      </c>
      <c r="C74" s="319"/>
      <c r="D74" s="509">
        <v>0</v>
      </c>
      <c r="E74" s="509">
        <f>D74*80%</f>
        <v>0</v>
      </c>
      <c r="F74" s="506">
        <f>D74*20%</f>
        <v>0</v>
      </c>
      <c r="G74" s="509">
        <v>0</v>
      </c>
      <c r="H74" s="514">
        <v>554</v>
      </c>
      <c r="I74" s="516">
        <f>G74*20%</f>
        <v>0</v>
      </c>
      <c r="J74" s="518">
        <v>554</v>
      </c>
      <c r="K74" s="501"/>
      <c r="L74" s="192">
        <f t="shared" si="15"/>
        <v>831</v>
      </c>
      <c r="N74" s="396">
        <v>0</v>
      </c>
      <c r="O74" s="512"/>
      <c r="P74" s="509"/>
      <c r="R74" s="538"/>
    </row>
    <row r="75" spans="1:20" ht="11.25" customHeight="1">
      <c r="B75" s="26"/>
      <c r="C75" s="26" t="s">
        <v>44</v>
      </c>
      <c r="D75" s="126">
        <v>0</v>
      </c>
      <c r="E75" s="126">
        <f>D75*80%</f>
        <v>0</v>
      </c>
      <c r="F75" s="486">
        <f>D75*20%</f>
        <v>0</v>
      </c>
      <c r="G75" s="126">
        <v>0</v>
      </c>
      <c r="H75" s="477">
        <v>6534.22</v>
      </c>
      <c r="I75" s="486">
        <f>G75*20%</f>
        <v>0</v>
      </c>
      <c r="J75" s="422">
        <v>554</v>
      </c>
      <c r="K75" s="478"/>
      <c r="L75" s="197">
        <f t="shared" si="15"/>
        <v>831</v>
      </c>
      <c r="M75" s="5"/>
      <c r="N75" s="124"/>
      <c r="O75" s="128"/>
      <c r="P75" s="422"/>
      <c r="R75" s="539"/>
    </row>
    <row r="76" spans="1:20" s="521" customFormat="1">
      <c r="A76" s="520"/>
      <c r="B76" s="394" t="s">
        <v>202</v>
      </c>
      <c r="C76" s="394"/>
      <c r="D76" s="509">
        <v>15000</v>
      </c>
      <c r="E76" s="509">
        <f t="shared" ref="E76:E82" si="17">D76*80%</f>
        <v>12000</v>
      </c>
      <c r="F76" s="506">
        <f t="shared" ref="F76:F82" si="18">D76*20%</f>
        <v>3000</v>
      </c>
      <c r="G76" s="509">
        <v>10000</v>
      </c>
      <c r="H76" s="522">
        <v>6534.22</v>
      </c>
      <c r="I76" s="522"/>
      <c r="J76" s="518">
        <v>6534.22</v>
      </c>
      <c r="K76" s="501"/>
      <c r="L76" s="192">
        <f t="shared" si="15"/>
        <v>9801.33</v>
      </c>
      <c r="N76" s="396">
        <v>11000</v>
      </c>
      <c r="O76" s="511">
        <f>N76*O6</f>
        <v>9900</v>
      </c>
      <c r="P76" s="396">
        <f>O76*P6</f>
        <v>990</v>
      </c>
      <c r="R76" s="538">
        <f t="shared" si="16"/>
        <v>-0.26666666666666666</v>
      </c>
    </row>
    <row r="77" spans="1:20">
      <c r="B77" s="26"/>
      <c r="C77" s="26" t="s">
        <v>162</v>
      </c>
      <c r="D77" s="126">
        <v>15000</v>
      </c>
      <c r="E77" s="126">
        <f t="shared" si="17"/>
        <v>12000</v>
      </c>
      <c r="F77" s="486">
        <f t="shared" si="18"/>
        <v>3000</v>
      </c>
      <c r="G77" s="126">
        <v>10000</v>
      </c>
      <c r="H77" s="476"/>
      <c r="I77" s="476"/>
      <c r="J77" s="422">
        <v>6534.22</v>
      </c>
      <c r="K77" s="478"/>
      <c r="L77" s="197">
        <f t="shared" si="15"/>
        <v>9801.33</v>
      </c>
      <c r="M77" s="5"/>
      <c r="N77" s="124">
        <f>N76</f>
        <v>11000</v>
      </c>
      <c r="O77" s="128"/>
      <c r="P77" s="422"/>
      <c r="R77" s="539">
        <f t="shared" si="16"/>
        <v>-0.26666666666666666</v>
      </c>
    </row>
    <row r="78" spans="1:20" s="521" customFormat="1">
      <c r="A78" s="520"/>
      <c r="B78" s="394" t="s">
        <v>224</v>
      </c>
      <c r="C78" s="394"/>
      <c r="D78" s="509">
        <v>0</v>
      </c>
      <c r="E78" s="509">
        <f t="shared" si="17"/>
        <v>0</v>
      </c>
      <c r="F78" s="506">
        <f t="shared" si="18"/>
        <v>0</v>
      </c>
      <c r="G78" s="509">
        <v>0</v>
      </c>
      <c r="H78" s="522"/>
      <c r="I78" s="522"/>
      <c r="J78" s="518"/>
      <c r="K78" s="501"/>
      <c r="L78" s="192">
        <f t="shared" si="15"/>
        <v>0</v>
      </c>
      <c r="N78" s="396">
        <v>0</v>
      </c>
      <c r="O78" s="512"/>
      <c r="P78" s="518"/>
      <c r="R78" s="538"/>
    </row>
    <row r="79" spans="1:20">
      <c r="B79" s="26">
        <v>67</v>
      </c>
      <c r="C79" s="26" t="s">
        <v>222</v>
      </c>
      <c r="D79" s="126">
        <v>0</v>
      </c>
      <c r="E79" s="126">
        <f t="shared" si="17"/>
        <v>0</v>
      </c>
      <c r="F79" s="486">
        <f t="shared" si="18"/>
        <v>0</v>
      </c>
      <c r="G79" s="126">
        <v>0</v>
      </c>
      <c r="H79" s="476">
        <v>16814.68</v>
      </c>
      <c r="I79" s="476"/>
      <c r="J79" s="422"/>
      <c r="K79" s="478"/>
      <c r="L79" s="197">
        <f t="shared" si="15"/>
        <v>0</v>
      </c>
      <c r="M79" s="5"/>
      <c r="N79" s="124"/>
      <c r="O79" s="128"/>
      <c r="P79" s="422"/>
      <c r="R79" s="539"/>
    </row>
    <row r="80" spans="1:20" s="521" customFormat="1">
      <c r="A80" s="520"/>
      <c r="B80" s="394" t="s">
        <v>45</v>
      </c>
      <c r="C80" s="394"/>
      <c r="D80" s="509">
        <v>0</v>
      </c>
      <c r="E80" s="509">
        <f t="shared" si="17"/>
        <v>0</v>
      </c>
      <c r="F80" s="506">
        <f t="shared" si="18"/>
        <v>0</v>
      </c>
      <c r="G80" s="509">
        <v>0</v>
      </c>
      <c r="H80" s="522">
        <v>5115.38</v>
      </c>
      <c r="I80" s="522"/>
      <c r="J80" s="519">
        <v>16814.68</v>
      </c>
      <c r="K80" s="501"/>
      <c r="L80" s="192">
        <f t="shared" si="15"/>
        <v>25222.02</v>
      </c>
      <c r="N80" s="442">
        <v>0</v>
      </c>
      <c r="O80" s="512"/>
      <c r="P80" s="518"/>
      <c r="R80" s="538"/>
    </row>
    <row r="81" spans="2:18">
      <c r="B81" s="26"/>
      <c r="C81" s="26" t="s">
        <v>122</v>
      </c>
      <c r="D81" s="126">
        <v>0</v>
      </c>
      <c r="E81" s="126">
        <f t="shared" si="17"/>
        <v>0</v>
      </c>
      <c r="F81" s="486">
        <f t="shared" si="18"/>
        <v>0</v>
      </c>
      <c r="G81" s="126">
        <v>0</v>
      </c>
      <c r="H81" s="476">
        <v>11699.3</v>
      </c>
      <c r="I81" s="476"/>
      <c r="J81" s="422">
        <v>5115.38</v>
      </c>
      <c r="K81" s="478"/>
      <c r="L81" s="197">
        <f t="shared" si="15"/>
        <v>7673.07</v>
      </c>
      <c r="M81" s="5"/>
      <c r="N81" s="124"/>
      <c r="O81" s="128"/>
      <c r="P81" s="422"/>
      <c r="R81" s="539"/>
    </row>
    <row r="82" spans="2:18">
      <c r="B82" s="26"/>
      <c r="C82" s="26" t="s">
        <v>223</v>
      </c>
      <c r="D82" s="529">
        <v>0</v>
      </c>
      <c r="E82" s="529">
        <f t="shared" si="17"/>
        <v>0</v>
      </c>
      <c r="F82" s="529">
        <f t="shared" si="18"/>
        <v>0</v>
      </c>
      <c r="G82" s="529">
        <v>0</v>
      </c>
      <c r="H82" s="476"/>
      <c r="I82" s="476"/>
      <c r="J82" s="536">
        <v>11699.3</v>
      </c>
      <c r="K82" s="478"/>
      <c r="L82" s="496">
        <f t="shared" si="15"/>
        <v>17548.949999999997</v>
      </c>
      <c r="M82" s="5"/>
      <c r="N82" s="233"/>
      <c r="O82" s="233"/>
      <c r="P82" s="536"/>
      <c r="R82" s="539"/>
    </row>
    <row r="83" spans="2:18">
      <c r="B83" s="26"/>
      <c r="C83" s="26"/>
      <c r="G83" s="121"/>
      <c r="M83" s="5"/>
    </row>
    <row r="84" spans="2:18">
      <c r="B84" s="26"/>
      <c r="C84" s="26"/>
      <c r="M84" s="5"/>
    </row>
    <row r="85" spans="2:18">
      <c r="M85" s="5"/>
    </row>
  </sheetData>
  <printOptions horizontalCentered="1" verticalCentered="1" gridLinesSet="0"/>
  <pageMargins left="0.39370078740157483" right="0.27559055118110237" top="0.27559055118110237" bottom="0.11811023622047245" header="0.51181102362204722" footer="0"/>
  <pageSetup paperSize="9" scale="85" orientation="portrait" r:id="rId1"/>
  <headerFooter alignWithMargins="0">
    <oddFooter>&amp;L&amp;8DOC06.PG01_Orçamento LapiSul_2015&amp;C&amp;8Aprovado pelo Conselho Diretor &amp;R&amp;8 6/10/2014</oddFooter>
  </headerFooter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61"/>
  <sheetViews>
    <sheetView showGridLines="0" topLeftCell="A2" zoomScale="125" zoomScaleNormal="136" zoomScaleSheetLayoutView="100" workbookViewId="0">
      <selection activeCell="M50" sqref="M50"/>
    </sheetView>
  </sheetViews>
  <sheetFormatPr baseColWidth="10" defaultColWidth="9" defaultRowHeight="18" outlineLevelRow="2"/>
  <cols>
    <col min="1" max="1" width="3.19921875" style="15" customWidth="1"/>
    <col min="2" max="2" width="3.19921875" style="3" customWidth="1"/>
    <col min="3" max="3" width="27.59765625" style="5" customWidth="1"/>
    <col min="4" max="5" width="12" style="16" customWidth="1"/>
    <col min="6" max="6" width="8.19921875" style="87" customWidth="1"/>
    <col min="7" max="7" width="14.3984375" style="88" customWidth="1"/>
    <col min="8" max="8" width="15" style="88" customWidth="1"/>
    <col min="9" max="9" width="17.3984375" style="83" customWidth="1"/>
    <col min="10" max="10" width="13" style="83" customWidth="1"/>
    <col min="11" max="11" width="9.59765625" style="5" customWidth="1"/>
    <col min="12" max="12" width="9" style="5"/>
    <col min="13" max="13" width="12.59765625" style="5" bestFit="1" customWidth="1"/>
    <col min="14" max="16384" width="9" style="5"/>
  </cols>
  <sheetData>
    <row r="1" spans="1:11">
      <c r="C1" s="18" t="s">
        <v>171</v>
      </c>
      <c r="G1" s="84"/>
      <c r="H1" s="84"/>
    </row>
    <row r="2" spans="1:11" s="3" customFormat="1" ht="18.75" customHeight="1">
      <c r="B2"/>
      <c r="C2" s="17"/>
      <c r="D2" s="42"/>
      <c r="E2" s="42"/>
      <c r="F2" s="87"/>
      <c r="G2" s="86"/>
      <c r="H2" s="86"/>
      <c r="I2" s="83"/>
      <c r="J2" s="83"/>
    </row>
    <row r="3" spans="1:11" s="3" customFormat="1" ht="18.75" customHeight="1">
      <c r="B3"/>
      <c r="C3" s="17"/>
      <c r="D3" s="42"/>
      <c r="E3" s="42"/>
      <c r="F3" s="5"/>
      <c r="G3" s="5"/>
      <c r="H3" s="87"/>
      <c r="I3" s="80"/>
      <c r="J3" s="80"/>
    </row>
    <row r="4" spans="1:11" s="3" customFormat="1" ht="18.75" customHeight="1">
      <c r="A4" s="92" t="s">
        <v>172</v>
      </c>
      <c r="B4"/>
      <c r="C4" s="17"/>
      <c r="D4" s="42"/>
      <c r="E4" s="42"/>
      <c r="F4" s="94"/>
      <c r="G4" s="81"/>
      <c r="H4" s="82"/>
      <c r="I4" s="79"/>
      <c r="J4" s="79"/>
    </row>
    <row r="5" spans="1:11" s="3" customFormat="1" ht="18.75" customHeight="1">
      <c r="A5" s="92"/>
      <c r="B5"/>
      <c r="C5" s="17"/>
      <c r="D5" s="42"/>
      <c r="E5" s="42"/>
      <c r="F5" s="87"/>
    </row>
    <row r="6" spans="1:11" s="4" customFormat="1" ht="17.25" customHeight="1" thickBot="1">
      <c r="A6" s="43"/>
      <c r="B6" s="44"/>
      <c r="C6" s="44"/>
      <c r="D6" s="682" t="s">
        <v>125</v>
      </c>
      <c r="E6" s="682"/>
      <c r="F6" s="87"/>
      <c r="G6" s="87"/>
      <c r="H6" s="119">
        <v>8</v>
      </c>
    </row>
    <row r="7" spans="1:11" ht="24" customHeight="1" thickBot="1">
      <c r="A7" s="146"/>
      <c r="B7" s="147"/>
      <c r="C7" s="148"/>
      <c r="D7" s="149">
        <v>2026</v>
      </c>
      <c r="E7" s="150">
        <v>2025</v>
      </c>
      <c r="G7" s="151" t="s">
        <v>226</v>
      </c>
      <c r="H7" s="131" t="s">
        <v>242</v>
      </c>
      <c r="I7" s="145" t="s">
        <v>233</v>
      </c>
      <c r="J7" s="104" t="s">
        <v>96</v>
      </c>
      <c r="K7" s="45" t="s">
        <v>95</v>
      </c>
    </row>
    <row r="8" spans="1:11" s="48" customFormat="1" ht="21" customHeight="1">
      <c r="A8" s="152" t="s">
        <v>15</v>
      </c>
      <c r="B8" s="153"/>
      <c r="C8" s="154"/>
      <c r="D8" s="155">
        <v>12174.5</v>
      </c>
      <c r="E8" s="156">
        <v>56670</v>
      </c>
      <c r="F8" s="87"/>
      <c r="G8" s="77">
        <v>4724.07</v>
      </c>
      <c r="H8" s="77">
        <v>37792.559999999998</v>
      </c>
      <c r="I8" s="77">
        <v>53017.857499999984</v>
      </c>
      <c r="J8" s="47">
        <v>40843.357499999984</v>
      </c>
      <c r="K8" s="157">
        <v>2.3548283297055308</v>
      </c>
    </row>
    <row r="9" spans="1:11" s="8" customFormat="1" ht="21" customHeight="1">
      <c r="A9" s="158" t="s">
        <v>6</v>
      </c>
      <c r="B9" s="49"/>
      <c r="C9" s="159"/>
      <c r="D9" s="160">
        <v>419200</v>
      </c>
      <c r="E9" s="100">
        <v>391300</v>
      </c>
      <c r="F9" s="87"/>
      <c r="G9" s="97">
        <v>33626.722499999996</v>
      </c>
      <c r="H9" s="97">
        <v>269013.77999999997</v>
      </c>
      <c r="I9" s="97">
        <v>399849.6875</v>
      </c>
      <c r="J9" s="56">
        <v>-19350.3125</v>
      </c>
      <c r="K9" s="96">
        <v>-1.0461600966125955</v>
      </c>
    </row>
    <row r="10" spans="1:11" s="9" customFormat="1" ht="14.25" customHeight="1" outlineLevel="1">
      <c r="A10" s="161"/>
      <c r="B10" s="52" t="s">
        <v>7</v>
      </c>
      <c r="C10" s="162"/>
      <c r="D10" s="163">
        <v>90000</v>
      </c>
      <c r="E10" s="53">
        <v>85000</v>
      </c>
      <c r="F10" s="87"/>
      <c r="G10" s="97">
        <v>8603.1550000000007</v>
      </c>
      <c r="H10" s="97">
        <v>68825.240000000005</v>
      </c>
      <c r="I10" s="97">
        <v>99566.877500000002</v>
      </c>
      <c r="J10" s="56">
        <v>9566.8775000000023</v>
      </c>
      <c r="K10" s="96">
        <v>-0.89370136111111109</v>
      </c>
    </row>
    <row r="11" spans="1:11" s="11" customFormat="1" ht="11.25" customHeight="1" outlineLevel="2">
      <c r="A11" s="164"/>
      <c r="B11" s="44"/>
      <c r="C11" s="165" t="s">
        <v>24</v>
      </c>
      <c r="D11" s="166">
        <v>85000</v>
      </c>
      <c r="E11" s="123">
        <v>85000</v>
      </c>
      <c r="F11" s="87"/>
      <c r="G11" s="129">
        <v>7230.3587500000003</v>
      </c>
      <c r="H11" s="129">
        <v>57842.87</v>
      </c>
      <c r="I11" s="99">
        <v>83149.125625000001</v>
      </c>
      <c r="J11" s="63"/>
      <c r="K11" s="63"/>
    </row>
    <row r="12" spans="1:11" s="11" customFormat="1" ht="11.25" customHeight="1" outlineLevel="2">
      <c r="A12" s="164"/>
      <c r="B12" s="44"/>
      <c r="C12" s="165" t="s">
        <v>25</v>
      </c>
      <c r="D12" s="166">
        <v>0</v>
      </c>
      <c r="E12" s="123">
        <v>0</v>
      </c>
      <c r="F12" s="87"/>
      <c r="G12" s="129">
        <v>111.60625000000073</v>
      </c>
      <c r="H12" s="129">
        <v>892.85000000000582</v>
      </c>
      <c r="I12" s="99">
        <v>1283.4718750000084</v>
      </c>
      <c r="J12" s="63"/>
      <c r="K12" s="63"/>
    </row>
    <row r="13" spans="1:11" s="11" customFormat="1" ht="11.25" customHeight="1" outlineLevel="2">
      <c r="A13" s="164"/>
      <c r="B13" s="44"/>
      <c r="C13" s="165" t="s">
        <v>227</v>
      </c>
      <c r="D13" s="166">
        <v>5000</v>
      </c>
      <c r="E13" s="123"/>
      <c r="F13" s="87"/>
      <c r="G13" s="129">
        <v>1261.19</v>
      </c>
      <c r="H13" s="129">
        <v>10089.52</v>
      </c>
      <c r="I13" s="99">
        <v>15134.28</v>
      </c>
      <c r="J13" s="63"/>
      <c r="K13" s="63"/>
    </row>
    <row r="14" spans="1:11" s="11" customFormat="1" ht="11.25" customHeight="1" outlineLevel="2">
      <c r="A14" s="161"/>
      <c r="B14" s="52" t="s">
        <v>98</v>
      </c>
      <c r="C14" s="162"/>
      <c r="D14" s="163">
        <v>19200</v>
      </c>
      <c r="E14" s="53">
        <v>18500</v>
      </c>
      <c r="F14" s="87"/>
      <c r="G14" s="95">
        <v>0</v>
      </c>
      <c r="H14" s="95">
        <v>0</v>
      </c>
      <c r="I14" s="95">
        <v>0</v>
      </c>
      <c r="J14" s="56">
        <v>-19200</v>
      </c>
      <c r="K14" s="96">
        <v>-2</v>
      </c>
    </row>
    <row r="15" spans="1:11" s="9" customFormat="1" ht="14.25" customHeight="1" outlineLevel="1">
      <c r="A15" s="164"/>
      <c r="B15" s="44"/>
      <c r="C15" s="167" t="s">
        <v>99</v>
      </c>
      <c r="D15" s="166">
        <v>11500</v>
      </c>
      <c r="E15" s="123">
        <v>11500</v>
      </c>
      <c r="F15" s="87"/>
      <c r="G15" s="129">
        <v>0</v>
      </c>
      <c r="H15" s="129"/>
      <c r="I15" s="99">
        <v>0</v>
      </c>
      <c r="J15" s="58"/>
      <c r="K15" s="63"/>
    </row>
    <row r="16" spans="1:11" s="11" customFormat="1" ht="11.25" customHeight="1" outlineLevel="2">
      <c r="A16" s="164"/>
      <c r="B16" s="44"/>
      <c r="C16" s="165" t="s">
        <v>173</v>
      </c>
      <c r="D16" s="166">
        <v>4200</v>
      </c>
      <c r="E16" s="123">
        <v>4200</v>
      </c>
      <c r="F16" s="87"/>
      <c r="G16" s="129">
        <v>0</v>
      </c>
      <c r="H16" s="129"/>
      <c r="I16" s="99">
        <v>0</v>
      </c>
      <c r="J16" s="63"/>
      <c r="K16" s="63"/>
    </row>
    <row r="17" spans="1:11" s="11" customFormat="1" ht="11.25" customHeight="1" outlineLevel="2">
      <c r="A17" s="164"/>
      <c r="B17" s="44"/>
      <c r="C17" s="165" t="s">
        <v>174</v>
      </c>
      <c r="D17" s="168">
        <v>3500</v>
      </c>
      <c r="E17" s="55">
        <v>2800</v>
      </c>
      <c r="F17" s="87"/>
      <c r="G17" s="129">
        <v>0</v>
      </c>
      <c r="H17" s="98"/>
      <c r="I17" s="99"/>
      <c r="J17" s="63"/>
      <c r="K17" s="63"/>
    </row>
    <row r="18" spans="1:11" s="11" customFormat="1" ht="11.25" customHeight="1" outlineLevel="2">
      <c r="A18" s="161"/>
      <c r="B18" s="52" t="s">
        <v>8</v>
      </c>
      <c r="C18" s="169"/>
      <c r="D18" s="163">
        <v>310000</v>
      </c>
      <c r="E18" s="53">
        <v>287800</v>
      </c>
      <c r="F18" s="87"/>
      <c r="G18" s="95">
        <v>24908.991249999999</v>
      </c>
      <c r="H18" s="95">
        <v>199271.93</v>
      </c>
      <c r="I18" s="95">
        <v>298907.89500000002</v>
      </c>
      <c r="J18" s="56">
        <v>-11092.104999999981</v>
      </c>
      <c r="K18" s="96">
        <v>-1.0357809838709677</v>
      </c>
    </row>
    <row r="19" spans="1:11" s="11" customFormat="1" ht="11.25" customHeight="1" outlineLevel="2">
      <c r="A19" s="164"/>
      <c r="B19" s="44"/>
      <c r="C19" s="165" t="s">
        <v>175</v>
      </c>
      <c r="D19" s="166">
        <v>120000</v>
      </c>
      <c r="E19" s="123">
        <v>110800</v>
      </c>
      <c r="F19" s="87"/>
      <c r="G19" s="129">
        <v>11423.6175</v>
      </c>
      <c r="H19" s="129">
        <v>91388.94</v>
      </c>
      <c r="I19" s="99">
        <v>137083.41</v>
      </c>
      <c r="J19" s="58"/>
      <c r="K19" s="63"/>
    </row>
    <row r="20" spans="1:11" s="9" customFormat="1" ht="14.25" customHeight="1" outlineLevel="1">
      <c r="A20" s="164"/>
      <c r="B20" s="44"/>
      <c r="C20" s="165" t="s">
        <v>176</v>
      </c>
      <c r="D20" s="166">
        <v>148000</v>
      </c>
      <c r="E20" s="123">
        <v>125000</v>
      </c>
      <c r="F20" s="87"/>
      <c r="G20" s="129">
        <v>13485.373750000001</v>
      </c>
      <c r="H20" s="129">
        <v>107882.99</v>
      </c>
      <c r="I20" s="99">
        <v>161824.48500000002</v>
      </c>
      <c r="J20" s="63"/>
      <c r="K20" s="63"/>
    </row>
    <row r="21" spans="1:11" s="11" customFormat="1" ht="11.25" customHeight="1" outlineLevel="2">
      <c r="A21" s="164"/>
      <c r="B21" s="44"/>
      <c r="C21" s="165" t="s">
        <v>177</v>
      </c>
      <c r="D21" s="166">
        <v>42000</v>
      </c>
      <c r="E21" s="123">
        <v>52000</v>
      </c>
      <c r="F21" s="87"/>
      <c r="G21" s="129">
        <v>0</v>
      </c>
      <c r="H21" s="129">
        <v>0</v>
      </c>
      <c r="I21" s="99">
        <v>0</v>
      </c>
      <c r="J21" s="63"/>
      <c r="K21" s="63"/>
    </row>
    <row r="22" spans="1:11" s="11" customFormat="1" ht="11.25" customHeight="1" outlineLevel="2">
      <c r="A22" s="161"/>
      <c r="B22" s="52" t="s">
        <v>48</v>
      </c>
      <c r="C22" s="162"/>
      <c r="D22" s="163">
        <v>0</v>
      </c>
      <c r="E22" s="53">
        <v>0</v>
      </c>
      <c r="F22" s="87"/>
      <c r="G22" s="129">
        <v>0</v>
      </c>
      <c r="H22" s="95">
        <v>0</v>
      </c>
      <c r="I22" s="170">
        <v>0</v>
      </c>
      <c r="J22" s="56">
        <v>0</v>
      </c>
      <c r="K22" s="96" t="e">
        <v>#DIV/0!</v>
      </c>
    </row>
    <row r="23" spans="1:11" s="11" customFormat="1" ht="11.25" customHeight="1" outlineLevel="2">
      <c r="A23" s="164"/>
      <c r="B23" s="44"/>
      <c r="C23" s="165" t="s">
        <v>49</v>
      </c>
      <c r="D23" s="168"/>
      <c r="E23" s="55"/>
      <c r="F23" s="87"/>
      <c r="G23" s="129">
        <v>0</v>
      </c>
      <c r="H23" s="129"/>
      <c r="I23" s="99">
        <v>0</v>
      </c>
      <c r="J23" s="63"/>
      <c r="K23" s="63"/>
    </row>
    <row r="24" spans="1:11" s="9" customFormat="1" ht="14.25" customHeight="1" outlineLevel="1">
      <c r="A24" s="161"/>
      <c r="B24" s="52" t="s">
        <v>45</v>
      </c>
      <c r="C24" s="162"/>
      <c r="D24" s="163">
        <v>0</v>
      </c>
      <c r="E24" s="53">
        <v>0</v>
      </c>
      <c r="F24" s="87"/>
      <c r="G24" s="129">
        <v>114.57625</v>
      </c>
      <c r="H24" s="95">
        <v>916.61</v>
      </c>
      <c r="I24" s="95">
        <v>1374.915</v>
      </c>
      <c r="J24" s="56">
        <v>1374.915</v>
      </c>
      <c r="K24" s="96" t="e">
        <v>#DIV/0!</v>
      </c>
    </row>
    <row r="25" spans="1:11" s="11" customFormat="1" ht="11.25" customHeight="1" outlineLevel="2">
      <c r="A25" s="164"/>
      <c r="B25" s="44"/>
      <c r="C25" s="165" t="s">
        <v>46</v>
      </c>
      <c r="D25" s="168"/>
      <c r="E25" s="55">
        <v>0</v>
      </c>
      <c r="F25" s="87"/>
      <c r="G25" s="129">
        <v>114.57625</v>
      </c>
      <c r="H25" s="129">
        <v>916.61</v>
      </c>
      <c r="I25" s="99">
        <v>1374.915</v>
      </c>
      <c r="J25" s="63"/>
      <c r="K25" s="63"/>
    </row>
    <row r="26" spans="1:11" s="9" customFormat="1" ht="14.25" customHeight="1" outlineLevel="1">
      <c r="A26" s="171" t="s">
        <v>10</v>
      </c>
      <c r="B26" s="46"/>
      <c r="C26" s="172"/>
      <c r="D26" s="173">
        <v>407025.5</v>
      </c>
      <c r="E26" s="125">
        <v>334630</v>
      </c>
      <c r="F26" s="87"/>
      <c r="G26" s="129">
        <v>28902.652499999997</v>
      </c>
      <c r="H26" s="113">
        <v>231221.21999999997</v>
      </c>
      <c r="I26" s="113">
        <v>346831.83</v>
      </c>
      <c r="J26" s="56">
        <v>-60193.669999999984</v>
      </c>
      <c r="K26" s="96">
        <v>-1.1478867294555255</v>
      </c>
    </row>
    <row r="27" spans="1:11" s="11" customFormat="1" ht="11.25" customHeight="1" outlineLevel="2">
      <c r="A27" s="174"/>
      <c r="B27" s="57" t="s">
        <v>11</v>
      </c>
      <c r="C27" s="175"/>
      <c r="D27" s="163">
        <v>8150</v>
      </c>
      <c r="E27" s="53">
        <v>6450</v>
      </c>
      <c r="F27" s="87"/>
      <c r="G27" s="129">
        <v>536.67875000000004</v>
      </c>
      <c r="H27" s="95">
        <v>4293.43</v>
      </c>
      <c r="I27" s="95">
        <v>6440.1450000000004</v>
      </c>
      <c r="J27" s="56">
        <v>-1709.8549999999996</v>
      </c>
      <c r="K27" s="96">
        <v>-1.2097981595092024</v>
      </c>
    </row>
    <row r="28" spans="1:11" s="11" customFormat="1" ht="11.25" customHeight="1" outlineLevel="2">
      <c r="A28" s="164"/>
      <c r="B28" s="44"/>
      <c r="C28" s="165" t="s">
        <v>178</v>
      </c>
      <c r="D28" s="176">
        <v>6400</v>
      </c>
      <c r="E28" s="124">
        <v>4700</v>
      </c>
      <c r="F28" s="87"/>
      <c r="G28" s="129">
        <v>536.67875000000004</v>
      </c>
      <c r="H28" s="129">
        <v>4293.43</v>
      </c>
      <c r="I28" s="99">
        <v>6440.1450000000004</v>
      </c>
      <c r="J28" s="63"/>
      <c r="K28" s="63"/>
    </row>
    <row r="29" spans="1:11" s="12" customFormat="1" ht="21" customHeight="1">
      <c r="A29" s="164"/>
      <c r="B29" s="44"/>
      <c r="C29" s="167" t="s">
        <v>180</v>
      </c>
      <c r="D29" s="176">
        <v>1750</v>
      </c>
      <c r="E29" s="124">
        <v>1750</v>
      </c>
      <c r="F29" s="87"/>
      <c r="G29" s="129">
        <v>0</v>
      </c>
      <c r="H29" s="129">
        <v>0</v>
      </c>
      <c r="I29" s="99">
        <v>0</v>
      </c>
      <c r="J29" s="63"/>
      <c r="K29" s="63"/>
    </row>
    <row r="30" spans="1:11" s="13" customFormat="1" ht="14.25" customHeight="1" outlineLevel="1">
      <c r="A30" s="161"/>
      <c r="B30" s="57" t="s">
        <v>12</v>
      </c>
      <c r="C30" s="162"/>
      <c r="D30" s="163">
        <v>127170</v>
      </c>
      <c r="E30" s="139">
        <v>59350</v>
      </c>
      <c r="F30" s="87"/>
      <c r="G30" s="129">
        <v>9628.5774999999994</v>
      </c>
      <c r="H30" s="53">
        <v>77028.62</v>
      </c>
      <c r="I30" s="69">
        <v>115542.93</v>
      </c>
      <c r="J30" s="56">
        <v>-11627.070000000007</v>
      </c>
      <c r="K30" s="96">
        <v>-1.0914293465439964</v>
      </c>
    </row>
    <row r="31" spans="1:11" s="11" customFormat="1" ht="11.25" customHeight="1" outlineLevel="2">
      <c r="A31" s="164"/>
      <c r="B31" s="44"/>
      <c r="C31" s="165" t="s">
        <v>181</v>
      </c>
      <c r="D31" s="176">
        <v>1300</v>
      </c>
      <c r="E31" s="124">
        <v>1300</v>
      </c>
      <c r="F31" s="87"/>
      <c r="G31" s="129">
        <v>114.1125</v>
      </c>
      <c r="H31" s="130">
        <v>912.9</v>
      </c>
      <c r="I31" s="99">
        <v>1369.35</v>
      </c>
      <c r="J31" s="63"/>
      <c r="K31" s="63"/>
    </row>
    <row r="32" spans="1:11" s="11" customFormat="1" ht="11.25" customHeight="1" outlineLevel="2">
      <c r="A32" s="164"/>
      <c r="B32" s="44"/>
      <c r="C32" s="165" t="s">
        <v>110</v>
      </c>
      <c r="D32" s="176">
        <v>6400</v>
      </c>
      <c r="E32" s="124">
        <v>6400</v>
      </c>
      <c r="F32" s="87"/>
      <c r="G32" s="129">
        <v>481.97624999999999</v>
      </c>
      <c r="H32" s="130">
        <v>3855.81</v>
      </c>
      <c r="I32" s="99">
        <v>5783.7150000000001</v>
      </c>
      <c r="J32" s="63"/>
      <c r="K32" s="63"/>
    </row>
    <row r="33" spans="1:11" s="11" customFormat="1" ht="11.25" customHeight="1" outlineLevel="2">
      <c r="A33" s="164"/>
      <c r="B33" s="44"/>
      <c r="C33" s="167" t="s">
        <v>111</v>
      </c>
      <c r="D33" s="176">
        <v>20000</v>
      </c>
      <c r="E33" s="124">
        <v>5000</v>
      </c>
      <c r="F33" s="87"/>
      <c r="G33" s="129">
        <v>1629.5925000000002</v>
      </c>
      <c r="H33" s="177">
        <v>13036.740000000002</v>
      </c>
      <c r="I33" s="99">
        <v>19555.11</v>
      </c>
      <c r="J33" s="55"/>
      <c r="K33" s="55"/>
    </row>
    <row r="34" spans="1:11" s="9" customFormat="1" ht="14.25" customHeight="1" outlineLevel="1">
      <c r="A34" s="164"/>
      <c r="B34" s="44"/>
      <c r="C34" s="165" t="s">
        <v>228</v>
      </c>
      <c r="D34" s="176">
        <v>10000</v>
      </c>
      <c r="E34" s="124">
        <v>10000</v>
      </c>
      <c r="F34" s="87"/>
      <c r="G34" s="129">
        <v>0</v>
      </c>
      <c r="H34" s="130"/>
      <c r="I34" s="99">
        <v>0</v>
      </c>
      <c r="J34" s="63"/>
      <c r="K34" s="63"/>
    </row>
    <row r="35" spans="1:11" s="11" customFormat="1" ht="11.25" customHeight="1" outlineLevel="2">
      <c r="A35" s="164"/>
      <c r="B35" s="44"/>
      <c r="C35" s="165" t="s">
        <v>229</v>
      </c>
      <c r="D35" s="176">
        <v>570</v>
      </c>
      <c r="E35" s="124">
        <v>100</v>
      </c>
      <c r="F35" s="87"/>
      <c r="G35" s="129">
        <v>47.585000000000001</v>
      </c>
      <c r="H35" s="130">
        <v>380.68</v>
      </c>
      <c r="I35" s="99">
        <v>571.02</v>
      </c>
      <c r="J35" s="55"/>
      <c r="K35" s="55"/>
    </row>
    <row r="36" spans="1:11" s="11" customFormat="1" ht="11.25" customHeight="1" outlineLevel="2">
      <c r="A36" s="164"/>
      <c r="B36" s="44"/>
      <c r="C36" s="165" t="s">
        <v>113</v>
      </c>
      <c r="D36" s="176">
        <v>1000</v>
      </c>
      <c r="E36" s="124">
        <v>250</v>
      </c>
      <c r="F36" s="87"/>
      <c r="G36" s="129">
        <v>85.34375</v>
      </c>
      <c r="H36" s="130">
        <v>682.75</v>
      </c>
      <c r="I36" s="99">
        <v>1024.125</v>
      </c>
      <c r="J36" s="63"/>
      <c r="K36" s="63"/>
    </row>
    <row r="37" spans="1:11" s="11" customFormat="1" ht="11.25" customHeight="1" outlineLevel="2">
      <c r="A37" s="164"/>
      <c r="B37" s="44"/>
      <c r="C37" s="165" t="s">
        <v>66</v>
      </c>
      <c r="D37" s="176">
        <v>4200</v>
      </c>
      <c r="E37" s="124">
        <v>4200</v>
      </c>
      <c r="F37" s="68"/>
      <c r="G37" s="129">
        <v>324.87625000000003</v>
      </c>
      <c r="H37" s="130">
        <v>2599.0100000000002</v>
      </c>
      <c r="I37" s="99">
        <v>3898.5150000000003</v>
      </c>
      <c r="J37" s="63"/>
      <c r="K37" s="63"/>
    </row>
    <row r="38" spans="1:11" s="11" customFormat="1" ht="11.25" customHeight="1" outlineLevel="2">
      <c r="A38" s="164"/>
      <c r="B38" s="44"/>
      <c r="C38" s="165" t="s">
        <v>106</v>
      </c>
      <c r="D38" s="176">
        <v>900</v>
      </c>
      <c r="E38" s="124">
        <v>900</v>
      </c>
      <c r="F38" s="87"/>
      <c r="G38" s="129">
        <v>75.376249999999999</v>
      </c>
      <c r="H38" s="130">
        <v>603.01</v>
      </c>
      <c r="I38" s="99">
        <v>904.51499999999999</v>
      </c>
      <c r="J38" s="63"/>
      <c r="K38" s="63"/>
    </row>
    <row r="39" spans="1:11" s="11" customFormat="1" ht="11.25" customHeight="1" outlineLevel="2">
      <c r="A39" s="164"/>
      <c r="B39" s="44"/>
      <c r="C39" s="165" t="s">
        <v>68</v>
      </c>
      <c r="D39" s="176">
        <v>4000</v>
      </c>
      <c r="E39" s="124">
        <v>3000</v>
      </c>
      <c r="F39" s="87"/>
      <c r="G39" s="129">
        <v>331.91750000000002</v>
      </c>
      <c r="H39" s="130">
        <v>2655.34</v>
      </c>
      <c r="I39" s="99">
        <v>3983.01</v>
      </c>
      <c r="J39" s="63"/>
      <c r="K39" s="63"/>
    </row>
    <row r="40" spans="1:11" s="11" customFormat="1" ht="11.25" customHeight="1" outlineLevel="2">
      <c r="A40" s="164"/>
      <c r="B40" s="44"/>
      <c r="C40" s="167" t="s">
        <v>108</v>
      </c>
      <c r="D40" s="176">
        <v>500</v>
      </c>
      <c r="E40" s="124">
        <v>500</v>
      </c>
      <c r="F40" s="87"/>
      <c r="G40" s="129">
        <v>86.21875</v>
      </c>
      <c r="H40" s="178">
        <v>689.75</v>
      </c>
      <c r="I40" s="99">
        <v>1034.625</v>
      </c>
      <c r="J40" s="63"/>
      <c r="K40" s="63"/>
    </row>
    <row r="41" spans="1:11" s="11" customFormat="1" ht="11.25" customHeight="1" outlineLevel="2">
      <c r="A41" s="164"/>
      <c r="B41" s="44"/>
      <c r="C41" s="165" t="s">
        <v>73</v>
      </c>
      <c r="D41" s="176">
        <v>2000</v>
      </c>
      <c r="E41" s="124">
        <v>2200</v>
      </c>
      <c r="F41" s="87"/>
      <c r="G41" s="129">
        <v>124.71</v>
      </c>
      <c r="H41" s="130">
        <v>997.68</v>
      </c>
      <c r="I41" s="99">
        <v>1496.52</v>
      </c>
      <c r="J41" s="63"/>
      <c r="K41" s="63"/>
    </row>
    <row r="42" spans="1:11" s="11" customFormat="1" ht="11.25" customHeight="1" outlineLevel="2">
      <c r="A42" s="164"/>
      <c r="B42" s="44"/>
      <c r="C42" s="167" t="s">
        <v>230</v>
      </c>
      <c r="D42" s="176">
        <v>1600</v>
      </c>
      <c r="E42" s="124">
        <v>1600</v>
      </c>
      <c r="F42" s="87"/>
      <c r="G42" s="129">
        <v>91.539999999999964</v>
      </c>
      <c r="H42" s="130">
        <v>732.31999999999971</v>
      </c>
      <c r="I42" s="99">
        <v>1098.4799999999996</v>
      </c>
      <c r="J42" s="63"/>
      <c r="K42" s="63"/>
    </row>
    <row r="43" spans="1:11" s="11" customFormat="1" ht="11.25" customHeight="1" outlineLevel="2">
      <c r="A43" s="164"/>
      <c r="B43" s="44"/>
      <c r="C43" s="165" t="s">
        <v>182</v>
      </c>
      <c r="D43" s="176">
        <v>7200</v>
      </c>
      <c r="E43" s="124">
        <v>7200</v>
      </c>
      <c r="F43" s="87"/>
      <c r="G43" s="129">
        <v>907.13625000000002</v>
      </c>
      <c r="H43" s="130">
        <v>7257.09</v>
      </c>
      <c r="I43" s="99">
        <v>10885.635</v>
      </c>
      <c r="J43" s="55"/>
      <c r="K43" s="55"/>
    </row>
    <row r="44" spans="1:11" s="11" customFormat="1" ht="11.25" customHeight="1" outlineLevel="2">
      <c r="A44" s="164"/>
      <c r="B44" s="44"/>
      <c r="C44" s="165" t="s">
        <v>99</v>
      </c>
      <c r="D44" s="176">
        <v>2500</v>
      </c>
      <c r="E44" s="124">
        <v>2500</v>
      </c>
      <c r="F44" s="87"/>
      <c r="G44" s="129">
        <v>232.63</v>
      </c>
      <c r="H44" s="129">
        <v>1861.04</v>
      </c>
      <c r="I44" s="99">
        <v>2791.56</v>
      </c>
      <c r="J44" s="63"/>
      <c r="K44" s="63"/>
    </row>
    <row r="45" spans="1:11" s="11" customFormat="1" ht="11.25" customHeight="1" outlineLevel="2">
      <c r="A45" s="164"/>
      <c r="B45" s="44"/>
      <c r="C45" s="165" t="s">
        <v>112</v>
      </c>
      <c r="D45" s="176">
        <v>0</v>
      </c>
      <c r="E45" s="124">
        <v>0</v>
      </c>
      <c r="F45" s="87"/>
      <c r="G45" s="129">
        <v>0</v>
      </c>
      <c r="H45" s="129">
        <v>0</v>
      </c>
      <c r="I45" s="99">
        <v>0</v>
      </c>
      <c r="J45" s="63"/>
      <c r="K45" s="63"/>
    </row>
    <row r="46" spans="1:11" s="11" customFormat="1" ht="11.25" customHeight="1" outlineLevel="2">
      <c r="A46" s="164"/>
      <c r="B46" s="44"/>
      <c r="C46" s="165" t="s">
        <v>179</v>
      </c>
      <c r="D46" s="176">
        <v>50000</v>
      </c>
      <c r="E46" s="124"/>
      <c r="F46" s="87"/>
      <c r="G46" s="129"/>
      <c r="H46" s="129">
        <v>30732.5</v>
      </c>
      <c r="I46" s="99">
        <v>46098.75</v>
      </c>
      <c r="J46" s="63"/>
      <c r="K46" s="63"/>
    </row>
    <row r="47" spans="1:11" s="11" customFormat="1" ht="11.25" customHeight="1" outlineLevel="2">
      <c r="A47" s="164"/>
      <c r="B47" s="44"/>
      <c r="C47" s="165" t="s">
        <v>53</v>
      </c>
      <c r="D47" s="176">
        <v>15000</v>
      </c>
      <c r="E47" s="124">
        <v>14200</v>
      </c>
      <c r="F47" s="87"/>
      <c r="G47" s="129">
        <v>1254</v>
      </c>
      <c r="H47" s="129">
        <v>10032</v>
      </c>
      <c r="I47" s="99">
        <v>15048</v>
      </c>
      <c r="J47" s="63"/>
      <c r="K47" s="63"/>
    </row>
    <row r="48" spans="1:11" s="11" customFormat="1" ht="11.25" customHeight="1" outlineLevel="2">
      <c r="A48" s="164"/>
      <c r="B48" s="44"/>
      <c r="C48" s="165" t="s">
        <v>183</v>
      </c>
      <c r="D48" s="176">
        <v>0</v>
      </c>
      <c r="E48" s="124">
        <v>0</v>
      </c>
      <c r="F48" s="87"/>
      <c r="G48" s="129">
        <v>0</v>
      </c>
      <c r="H48" s="129"/>
      <c r="I48" s="99">
        <v>0</v>
      </c>
      <c r="J48" s="55"/>
      <c r="K48" s="55"/>
    </row>
    <row r="49" spans="1:11" s="11" customFormat="1" ht="11.25" customHeight="1" outlineLevel="2">
      <c r="A49" s="164"/>
      <c r="B49" s="44"/>
      <c r="C49" s="165" t="s">
        <v>184</v>
      </c>
      <c r="D49" s="176">
        <v>0</v>
      </c>
      <c r="E49" s="124">
        <v>0</v>
      </c>
      <c r="F49" s="87"/>
      <c r="G49" s="129">
        <v>0</v>
      </c>
      <c r="H49" s="99"/>
      <c r="I49" s="99">
        <v>0</v>
      </c>
      <c r="J49" s="55"/>
      <c r="K49" s="55"/>
    </row>
    <row r="50" spans="1:11" s="11" customFormat="1" ht="11.25" customHeight="1" outlineLevel="2">
      <c r="A50" s="174"/>
      <c r="B50" s="57" t="s">
        <v>13</v>
      </c>
      <c r="C50" s="175"/>
      <c r="D50" s="163">
        <v>269705.5</v>
      </c>
      <c r="E50" s="53">
        <v>266830</v>
      </c>
      <c r="F50" s="87"/>
      <c r="G50" s="129">
        <v>18612.463749999999</v>
      </c>
      <c r="H50" s="75">
        <v>148899.71</v>
      </c>
      <c r="I50" s="95">
        <v>223349.565</v>
      </c>
      <c r="J50" s="56">
        <v>-46355.934999999998</v>
      </c>
      <c r="K50" s="96">
        <v>-1.1718761204350672</v>
      </c>
    </row>
    <row r="51" spans="1:11" s="11" customFormat="1" ht="11.25" customHeight="1" outlineLevel="2">
      <c r="A51" s="164"/>
      <c r="B51" s="44"/>
      <c r="C51" s="165" t="s">
        <v>79</v>
      </c>
      <c r="D51" s="168">
        <v>219978</v>
      </c>
      <c r="E51" s="55">
        <v>206690</v>
      </c>
      <c r="F51" s="87"/>
      <c r="G51" s="129">
        <v>15097.46</v>
      </c>
      <c r="H51" s="129">
        <v>120779.68</v>
      </c>
      <c r="I51" s="99">
        <v>181169.52</v>
      </c>
      <c r="J51" s="63"/>
      <c r="K51" s="63"/>
    </row>
    <row r="52" spans="1:11" s="11" customFormat="1" ht="11.25" customHeight="1" outlineLevel="2">
      <c r="A52" s="164"/>
      <c r="B52" s="44"/>
      <c r="C52" s="165" t="s">
        <v>115</v>
      </c>
      <c r="D52" s="168">
        <v>45277.5</v>
      </c>
      <c r="E52" s="126">
        <v>46100</v>
      </c>
      <c r="F52" s="87"/>
      <c r="G52" s="129">
        <v>2929.0662499999999</v>
      </c>
      <c r="H52" s="129">
        <v>23432.53</v>
      </c>
      <c r="I52" s="99">
        <v>35148.794999999998</v>
      </c>
      <c r="J52" s="63"/>
      <c r="K52" s="63"/>
    </row>
    <row r="53" spans="1:11" s="11" customFormat="1" ht="11.25" customHeight="1" outlineLevel="2">
      <c r="A53" s="164"/>
      <c r="B53" s="44"/>
      <c r="C53" s="165" t="s">
        <v>74</v>
      </c>
      <c r="D53" s="168">
        <v>2500</v>
      </c>
      <c r="E53" s="55">
        <v>2200</v>
      </c>
      <c r="F53" s="87"/>
      <c r="G53" s="129">
        <v>562.5</v>
      </c>
      <c r="H53" s="129">
        <v>4500</v>
      </c>
      <c r="I53" s="99">
        <v>6750</v>
      </c>
      <c r="J53" s="63"/>
      <c r="K53" s="63"/>
    </row>
    <row r="54" spans="1:11" s="13" customFormat="1" ht="14.25" customHeight="1" outlineLevel="1">
      <c r="A54" s="164"/>
      <c r="B54" s="44"/>
      <c r="C54" s="165" t="s">
        <v>117</v>
      </c>
      <c r="D54" s="168">
        <v>500</v>
      </c>
      <c r="E54" s="55">
        <v>500</v>
      </c>
      <c r="F54" s="87"/>
      <c r="G54" s="129">
        <v>0</v>
      </c>
      <c r="H54" s="129"/>
      <c r="I54" s="99">
        <v>0</v>
      </c>
      <c r="J54" s="63"/>
      <c r="K54" s="63"/>
    </row>
    <row r="55" spans="1:11" s="11" customFormat="1" ht="11.25" customHeight="1" outlineLevel="2">
      <c r="A55" s="164"/>
      <c r="B55" s="44"/>
      <c r="C55" s="165" t="s">
        <v>86</v>
      </c>
      <c r="D55" s="168">
        <v>0</v>
      </c>
      <c r="E55" s="55">
        <v>0</v>
      </c>
      <c r="F55" s="87"/>
      <c r="G55" s="129">
        <v>0</v>
      </c>
      <c r="H55" s="129"/>
      <c r="I55" s="99">
        <v>0</v>
      </c>
      <c r="J55" s="63"/>
      <c r="K55" s="63"/>
    </row>
    <row r="56" spans="1:11" s="11" customFormat="1" ht="11.25" customHeight="1" outlineLevel="2">
      <c r="A56" s="164"/>
      <c r="B56" s="44"/>
      <c r="C56" s="165" t="s">
        <v>185</v>
      </c>
      <c r="D56" s="168">
        <v>450</v>
      </c>
      <c r="E56" s="55">
        <v>450</v>
      </c>
      <c r="F56" s="87"/>
      <c r="G56" s="129">
        <v>0</v>
      </c>
      <c r="H56" s="129"/>
      <c r="I56" s="99">
        <v>0</v>
      </c>
      <c r="J56" s="63"/>
      <c r="K56" s="63"/>
    </row>
    <row r="57" spans="1:11" s="11" customFormat="1" ht="11.25" customHeight="1" outlineLevel="2">
      <c r="A57" s="164"/>
      <c r="B57" s="44"/>
      <c r="C57" s="165" t="s">
        <v>119</v>
      </c>
      <c r="D57" s="168">
        <v>1000</v>
      </c>
      <c r="E57" s="55">
        <v>10890</v>
      </c>
      <c r="F57" s="87"/>
      <c r="G57" s="129">
        <v>23.4375</v>
      </c>
      <c r="H57" s="98">
        <v>187.5</v>
      </c>
      <c r="I57" s="99">
        <v>281.25</v>
      </c>
      <c r="J57" s="63"/>
      <c r="K57" s="63"/>
    </row>
    <row r="58" spans="1:11" s="11" customFormat="1" ht="11.25" customHeight="1" outlineLevel="2">
      <c r="A58" s="174"/>
      <c r="B58" s="57" t="s">
        <v>120</v>
      </c>
      <c r="C58" s="175"/>
      <c r="D58" s="163">
        <v>2000</v>
      </c>
      <c r="E58" s="53">
        <v>2000</v>
      </c>
      <c r="F58" s="87"/>
      <c r="G58" s="129">
        <v>0</v>
      </c>
      <c r="H58" s="95">
        <v>0</v>
      </c>
      <c r="I58" s="95">
        <v>0</v>
      </c>
      <c r="J58" s="56">
        <v>-2000</v>
      </c>
      <c r="K58" s="96">
        <v>-2</v>
      </c>
    </row>
    <row r="59" spans="1:11" s="11" customFormat="1" ht="11.25" customHeight="1" outlineLevel="2">
      <c r="A59" s="164"/>
      <c r="B59" s="44"/>
      <c r="C59" s="167" t="s">
        <v>89</v>
      </c>
      <c r="D59" s="168">
        <v>2000</v>
      </c>
      <c r="E59" s="55">
        <v>2000</v>
      </c>
      <c r="F59" s="87"/>
      <c r="G59" s="129"/>
      <c r="H59" s="129"/>
      <c r="I59" s="99">
        <v>0</v>
      </c>
      <c r="J59" s="63"/>
      <c r="K59" s="63"/>
    </row>
    <row r="60" spans="1:11" s="11" customFormat="1" ht="11.25" customHeight="1" outlineLevel="2">
      <c r="A60" s="179"/>
      <c r="B60" s="61" t="s">
        <v>45</v>
      </c>
      <c r="C60" s="180"/>
      <c r="D60" s="163">
        <v>0</v>
      </c>
      <c r="E60" s="53">
        <v>0</v>
      </c>
      <c r="F60" s="87"/>
      <c r="G60" s="95">
        <v>166.57666666666668</v>
      </c>
      <c r="H60" s="95">
        <v>999.46</v>
      </c>
      <c r="I60" s="170">
        <v>1499.19</v>
      </c>
      <c r="J60" s="56">
        <v>1499.19</v>
      </c>
      <c r="K60" s="96" t="e">
        <v>#DIV/0!</v>
      </c>
    </row>
    <row r="61" spans="1:11" ht="13">
      <c r="A61" s="181"/>
      <c r="B61" s="182"/>
      <c r="C61" s="183" t="s">
        <v>90</v>
      </c>
      <c r="D61" s="184">
        <v>0</v>
      </c>
      <c r="E61" s="127">
        <v>0</v>
      </c>
      <c r="G61" s="185">
        <v>166.57666666666668</v>
      </c>
      <c r="H61" s="185">
        <v>999.46</v>
      </c>
      <c r="I61" s="186">
        <v>1499.19</v>
      </c>
      <c r="J61" s="187"/>
      <c r="K61" s="187"/>
    </row>
  </sheetData>
  <mergeCells count="1">
    <mergeCell ref="D6:E6"/>
  </mergeCells>
  <printOptions horizontalCentered="1" verticalCentered="1" gridLinesSet="0"/>
  <pageMargins left="0.19685039370078741" right="0.27559055118110237" top="0.27559055118110237" bottom="0.11811023622047245" header="0.51181102362204722" footer="0.51181102362204722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1</vt:i4>
      </vt:variant>
    </vt:vector>
  </HeadingPairs>
  <TitlesOfParts>
    <vt:vector size="10" baseType="lpstr">
      <vt:lpstr>RESUMO (AREAS)</vt:lpstr>
      <vt:lpstr>RESUMO</vt:lpstr>
      <vt:lpstr>CONSOLIDADO</vt:lpstr>
      <vt:lpstr>ASA SEDE</vt:lpstr>
      <vt:lpstr>LAPI NORTE</vt:lpstr>
      <vt:lpstr>LAPI CENTRO</vt:lpstr>
      <vt:lpstr>LAPI SUL</vt:lpstr>
      <vt:lpstr>LAPI MADEIRA</vt:lpstr>
      <vt:lpstr>ARCO IRIS</vt:lpstr>
      <vt:lpstr>'ARCO IRIS'!Área_de_Impressão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Daniel</dc:creator>
  <cp:keywords/>
  <dc:description/>
  <cp:lastModifiedBy>Direcção Lapi</cp:lastModifiedBy>
  <cp:revision/>
  <cp:lastPrinted>2025-11-11T18:07:53Z</cp:lastPrinted>
  <dcterms:created xsi:type="dcterms:W3CDTF">1997-09-26T08:54:04Z</dcterms:created>
  <dcterms:modified xsi:type="dcterms:W3CDTF">2026-06-29T10:34:04Z</dcterms:modified>
  <cp:category/>
  <cp:contentStatus/>
</cp:coreProperties>
</file>